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0" activeTab="57"/>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r:id="rId12"/>
    <sheet name="ТС. Т-ТЭ | ТСО" sheetId="12" r:id="rId13"/>
    <sheet name="ТС. Т-ТЭ | предел" sheetId="13" state="hidden" r:id="rId14"/>
    <sheet name="ТС. Т-ТЭ | индикат" sheetId="14" state="hidden" r:id="rId15"/>
    <sheet name="ТС. Резерв мощности" sheetId="15" state="hidden" r:id="rId16"/>
    <sheet name="ТС. Т-ТН" sheetId="16" r:id="rId17"/>
    <sheet name="ТС. Т-передача ТЭ" sheetId="17" state="hidden" r:id="rId18"/>
    <sheet name="ТС. Т-передача ТН" sheetId="18" state="hidden" r:id="rId19"/>
    <sheet name="ТС. Т-гор.вода" sheetId="19"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state="hidden" r:id="rId48"/>
    <sheet name="Предложение" sheetId="48" r:id="rId49"/>
    <sheet name="Сведения о закупках" sheetId="49"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&gt;=25МВт'!$86:$88</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ТСО'!$128:$130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Т-ТН'!$86:$89</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Т-гор.вода'!$98:$100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&gt;=25МВт'!$89:$92</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ТСО'!$131:$134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Т-ТН'!$90:$93</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Т-гор.вода'!$101:$103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тарифов'!$123:$147</definedName>
    <definedName name="BLOCK_PT_HEAT">'Перечень тарифов'!$13:$121</definedName>
    <definedName name="BLOCK_PT_HEAT_NOT_R">'Перечень тарифов'!$107:$111</definedName>
    <definedName name="BLOCK_PT_HEAT_NOT_R_TMP">'Перечень тарифов'!$102:$106</definedName>
    <definedName name="BLOCK_PT_HEAT_PHEAT">'Перечень тарифов'!$51:$55</definedName>
    <definedName name="BLOCK_PT_HEAT_PHEAT_HIDDEN_FORMULAS">'Перечень тарифов'!$Z$51:$AQ$51</definedName>
    <definedName name="BLOCK_PT_HEAT_RHEAT">'Перечень тарифов'!$26:$50</definedName>
    <definedName name="BLOCK_PT_HEAT_RHEAT_HIDDEN_FORMULAS">'Перечень тарифов'!$Z$26:$AQ$26</definedName>
    <definedName name="BLOCK_PT_HOTVSNA">'Перечень тарифов'!$149:$163</definedName>
    <definedName name="BLOCK_PT_VOTV">'Перечень тарифов'!$165:$179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тарифов'!$Z$12:$Z$181</definedName>
    <definedName name="DIFFERENTIATION_TARIFF_VD_ID">'Перечень тарифов'!$AB$12:$AB$181</definedName>
    <definedName name="DIFFERENTIATION_TARIFF_VTAR_ID">'Перечень тарифов'!$AA$12:$AA$181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Предложение!$L$107</definedName>
    <definedName name="OFFER_METHOD">Предложение!$K$24:$K$105</definedName>
    <definedName name="OFFER_METHOD_FLAG">TEHSHEET!$L$6</definedName>
    <definedName name="OFFER_TARIFF_A_1">Предложение!$24:$30</definedName>
    <definedName name="OFFER_TARIFF_A_2">Предложение!$109:$127</definedName>
    <definedName name="OFFER_TARIFF_A_3">Предложение!$252:$270</definedName>
    <definedName name="OFFER_TARIFF_A_4">Предложение!$395:$401</definedName>
    <definedName name="OFFER_TARIFF_A_5">Предложение!$478:$496</definedName>
    <definedName name="OFFER_TARIFF_A_COLDVSNA_1">Предложение!$73:$75</definedName>
    <definedName name="OFFER_TARIFF_A_COLDVSNA_2">Предложение!$218:$220</definedName>
    <definedName name="OFFER_TARIFF_A_COLDVSNA_3">Предложение!$361:$363</definedName>
    <definedName name="OFFER_TARIFF_A_COLDVSNA_4">Предложение!$444:$446</definedName>
    <definedName name="OFFER_TARIFF_A_COLDVSNA_5">Предложение!$587:$589</definedName>
    <definedName name="OFFER_TARIFF_A_HOTVSNA_1">Предложение!$88:$90</definedName>
    <definedName name="OFFER_TARIFF_A_HOTVSNA_2">Предложение!$233:$235</definedName>
    <definedName name="OFFER_TARIFF_A_HOTVSNA_3">Предложение!$376:$378</definedName>
    <definedName name="OFFER_TARIFF_A_HOTVSNA_4">Предложение!$459:$461</definedName>
    <definedName name="OFFER_TARIFF_A_HOTVSNA_5">Предложение!$602:$604</definedName>
    <definedName name="OFFER_TARIFF_A_VOTV_1">Предложение!$97:$99</definedName>
    <definedName name="OFFER_TARIFF_A_VOTV_2">Предложение!$242:$244</definedName>
    <definedName name="OFFER_TARIFF_A_VOTV_3">Предложение!$385:$387</definedName>
    <definedName name="OFFER_TARIFF_A_VOTV_4">Предложение!$468:$470</definedName>
    <definedName name="OFFER_TARIFF_A_VOTV_5">Предложение!$611:$613</definedName>
    <definedName name="OFFER_TARIFF_B_1">Предложение!$31:$43</definedName>
    <definedName name="OFFER_TARIFF_B_2">Предложение!$128:$164</definedName>
    <definedName name="OFFER_TARIFF_B_3">Предложение!$271:$307</definedName>
    <definedName name="OFFER_TARIFF_B_4">Предложение!$402:$414</definedName>
    <definedName name="OFFER_TARIFF_B_5">Предложение!$497:$533</definedName>
    <definedName name="OFFER_TARIFF_B_COLDVSNA_1">Предложение!$76:$78</definedName>
    <definedName name="OFFER_TARIFF_B_COLDVSNA_2">Предложение!$221:$223</definedName>
    <definedName name="OFFER_TARIFF_B_COLDVSNA_3">Предложение!$364:$366</definedName>
    <definedName name="OFFER_TARIFF_B_COLDVSNA_4">Предложение!$447:$449</definedName>
    <definedName name="OFFER_TARIFF_B_COLDVSNA_5">Предложение!$590:$592</definedName>
    <definedName name="OFFER_TARIFF_B_HOTVSNA_1">Предложение!$91:$93</definedName>
    <definedName name="OFFER_TARIFF_B_HOTVSNA_2">Предложение!$236:$238</definedName>
    <definedName name="OFFER_TARIFF_B_HOTVSNA_3">Предложение!$379:$381</definedName>
    <definedName name="OFFER_TARIFF_B_HOTVSNA_4">Предложение!$462:$464</definedName>
    <definedName name="OFFER_TARIFF_B_HOTVSNA_5">Предложение!$605:$607</definedName>
    <definedName name="OFFER_TARIFF_B_VOTV_1">Предложение!$100:$102</definedName>
    <definedName name="OFFER_TARIFF_B_VOTV_2">Предложение!$245:$247</definedName>
    <definedName name="OFFER_TARIFF_B_VOTV_3">Предложение!$388:$390</definedName>
    <definedName name="OFFER_TARIFF_B_VOTV_4">Предложение!$471:$473</definedName>
    <definedName name="OFFER_TARIFF_B_VOTV_5">Предложение!$614:$616</definedName>
    <definedName name="OFFER_TARIFF_C_1">Предложение!$44:$50</definedName>
    <definedName name="OFFER_TARIFF_C_2">Предложение!$165:$183</definedName>
    <definedName name="OFFER_TARIFF_C_3">Предложение!$308:$326</definedName>
    <definedName name="OFFER_TARIFF_C_4">Предложение!$415:$421</definedName>
    <definedName name="OFFER_TARIFF_C_5">Предложение!$534:$552</definedName>
    <definedName name="OFFER_TARIFF_C_COLDVSNA_1">Предложение!$79:$81</definedName>
    <definedName name="OFFER_TARIFF_C_COLDVSNA_2">Предложение!$224:$226</definedName>
    <definedName name="OFFER_TARIFF_C_COLDVSNA_3">Предложение!$367:$369</definedName>
    <definedName name="OFFER_TARIFF_C_COLDVSNA_4">Предложение!$450:$452</definedName>
    <definedName name="OFFER_TARIFF_C_COLDVSNA_5">Предложение!$593:$595</definedName>
    <definedName name="OFFER_TARIFF_C_HOTVSNA_1">Предложение!$94:$96</definedName>
    <definedName name="OFFER_TARIFF_C_HOTVSNA_2">Предложение!$239:$241</definedName>
    <definedName name="OFFER_TARIFF_C_HOTVSNA_3">Предложение!$382:$384</definedName>
    <definedName name="OFFER_TARIFF_C_HOTVSNA_4">Предложение!$465:$467</definedName>
    <definedName name="OFFER_TARIFF_C_HOTVSNA_5">Предложение!$608:$610</definedName>
    <definedName name="OFFER_TARIFF_C_VOTV_1">Предложение!$103:$105</definedName>
    <definedName name="OFFER_TARIFF_C_VOTV_2">Предложение!$248:$250</definedName>
    <definedName name="OFFER_TARIFF_C_VOTV_3">Предложение!$391:$393</definedName>
    <definedName name="OFFER_TARIFF_C_VOTV_4">Предложение!$474:$476</definedName>
    <definedName name="OFFER_TARIFF_C_VOTV_5">Предложение!$617:$619</definedName>
    <definedName name="OFFER_TARIFF_D_1">Предложение!$51:$57</definedName>
    <definedName name="OFFER_TARIFF_D_2">Предложение!$184:$202</definedName>
    <definedName name="OFFER_TARIFF_D_3">Предложение!$327:$345</definedName>
    <definedName name="OFFER_TARIFF_D_4">Предложение!$422:$428</definedName>
    <definedName name="OFFER_TARIFF_D_5">Предложение!$553:$571</definedName>
    <definedName name="OFFER_TARIFF_D_COLDVSNA_1">Предложение!$82:$84</definedName>
    <definedName name="OFFER_TARIFF_D_COLDVSNA_2">Предложение!$227:$229</definedName>
    <definedName name="OFFER_TARIFF_D_COLDVSNA_3">Предложение!$370:$372</definedName>
    <definedName name="OFFER_TARIFF_D_COLDVSNA_4">Предложение!$453:$455</definedName>
    <definedName name="OFFER_TARIFF_D_COLDVSNA_5">Предложение!$596:$598</definedName>
    <definedName name="OFFER_TARIFF_E_COLDVSNA_1">Предложение!$85:$87</definedName>
    <definedName name="OFFER_TARIFF_E_COLDVSNA_2">Предложение!$230:$232</definedName>
    <definedName name="OFFER_TARIFF_E_COLDVSNA_3">Предложение!$373:$375</definedName>
    <definedName name="OFFER_TARIFF_E_COLDVSNA_4">Предложение!$456:$458</definedName>
    <definedName name="OFFER_TARIFF_E_COLDVSNA_5">Предложение!$599:$601</definedName>
    <definedName name="OFFER_TARIFF_E1_1">Предложение!$58:$60</definedName>
    <definedName name="OFFER_TARIFF_E1_2">Предложение!$203:$205</definedName>
    <definedName name="OFFER_TARIFF_E1_3">Предложение!$346:$348</definedName>
    <definedName name="OFFER_TARIFF_E1_4">Предложение!$429:$431</definedName>
    <definedName name="OFFER_TARIFF_E1_5">Предложение!$572:$574</definedName>
    <definedName name="OFFER_TARIFF_E2_1">Предложение!$61:$63</definedName>
    <definedName name="OFFER_TARIFF_E2_2">Предложение!$206:$208</definedName>
    <definedName name="OFFER_TARIFF_E2_3">Предложение!$349:$351</definedName>
    <definedName name="OFFER_TARIFF_E2_4">Предложение!$432:$434</definedName>
    <definedName name="OFFER_TARIFF_E2_5">Предложение!$575:$577</definedName>
    <definedName name="OFFER_TARIFF_F_1">Предложение!$64:$66</definedName>
    <definedName name="OFFER_TARIFF_F_2">Предложение!$209:$211</definedName>
    <definedName name="OFFER_TARIFF_F_3">Предложение!$352:$354</definedName>
    <definedName name="OFFER_TARIFF_F_4">Предложение!$435:$437</definedName>
    <definedName name="OFFER_TARIFF_F_5">Предложение!$578:$580</definedName>
    <definedName name="OFFER_TARIFF_G_1">Предложение!$67:$69</definedName>
    <definedName name="OFFER_TARIFF_G_2">Предложение!$212:$214</definedName>
    <definedName name="OFFER_TARIFF_G_3">Предложение!$355:$357</definedName>
    <definedName name="OFFER_TARIFF_G_4">Предложение!$438:$440</definedName>
    <definedName name="OFFER_TARIFF_G_5">Предложение!$581:$583</definedName>
    <definedName name="OFFER_TARIFF_H_1">Предложение!$70:$72</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&gt;=25МВт'!$T$85</definedName>
    <definedName name="pIns_PT_VTAR_A_COLDVSNA">'ХВС. Т-пит'!$T$53</definedName>
    <definedName name="pIns_PT_VTAR_A_COLDVSNA_OFFER_1">Предложение!$G$75</definedName>
    <definedName name="pIns_PT_VTAR_A_COLDVSNA_OFFER_2">Предложение!$G$220</definedName>
    <definedName name="pIns_PT_VTAR_A_COLDVSNA_OFFER_3">Предложение!$G$363</definedName>
    <definedName name="pIns_PT_VTAR_A_COLDVSNA_OFFER_4">Предложение!$G$446</definedName>
    <definedName name="pIns_PT_VTAR_A_COLDVSNA_OFFER_5">Предложение!$G$589</definedName>
    <definedName name="pIns_PT_VTAR_A_COLDVSNA_OFFER5">Предложение!$G$589</definedName>
    <definedName name="pIns_PT_VTAR_A_HOTVSNA">'ГВС. Т-гор.вода'!$T$54</definedName>
    <definedName name="pIns_PT_VTAR_A_HOTVSNA_OFFER_1">Предложение!$G$90</definedName>
    <definedName name="pIns_PT_VTAR_A_HOTVSNA_OFFER_2">Предложение!$G$235</definedName>
    <definedName name="pIns_PT_VTAR_A_HOTVSNA_OFFER_3">Предложение!$G$378</definedName>
    <definedName name="pIns_PT_VTAR_A_HOTVSNA_OFFER_4">Предложение!$G$461</definedName>
    <definedName name="pIns_PT_VTAR_A_HOTVSNA_OFFER_5">Предложение!$G$604</definedName>
    <definedName name="pIns_PT_VTAR_A_OFFER_1">Предложение!$G$30</definedName>
    <definedName name="pIns_PT_VTAR_A_OFFER_2">Предложение!$G$127</definedName>
    <definedName name="pIns_PT_VTAR_A_OFFER_3">Предложение!$G$270</definedName>
    <definedName name="pIns_PT_VTAR_A_OFFER_4">Предложение!$G$401</definedName>
    <definedName name="pIns_PT_VTAR_A_OFFER_5">Предложение!$G$496</definedName>
    <definedName name="pIns_PT_VTAR_A_VOTV">'ВО. Т-во'!$T$53</definedName>
    <definedName name="pIns_PT_VTAR_A_VOTV_OFFER_1">Предложение!$G$99</definedName>
    <definedName name="pIns_PT_VTAR_A_VOTV_OFFER_2">Предложение!$G$244</definedName>
    <definedName name="pIns_PT_VTAR_A_VOTV_OFFER_3">Предложение!$G$387</definedName>
    <definedName name="pIns_PT_VTAR_A_VOTV_OFFER_4">Предложение!$G$470</definedName>
    <definedName name="pIns_PT_VTAR_A_VOTV_OFFER_5">Предложение!$G$613</definedName>
    <definedName name="pIns_PT_VTAR_B">'ТС. Т-ТЭ | ТСО'!$T$127</definedName>
    <definedName name="pIns_PT_VTAR_B_COLDVSNA">'ХВС. Т-тех'!$T$53</definedName>
    <definedName name="pIns_PT_VTAR_B_COLDVSNA_OFFER_1">Предложение!$G$78</definedName>
    <definedName name="pIns_PT_VTAR_B_COLDVSNA_OFFER_2">Предложение!$G$223</definedName>
    <definedName name="pIns_PT_VTAR_B_COLDVSNA_OFFER_3">Предложение!$G$366</definedName>
    <definedName name="pIns_PT_VTAR_B_COLDVSNA_OFFER_4">Предложение!$G$449</definedName>
    <definedName name="pIns_PT_VTAR_B_COLDVSNA_OFFER_5">Предложение!$G$592</definedName>
    <definedName name="pIns_PT_VTAR_B_HOTVSNA">'ГВС. Т-транс'!$T$54</definedName>
    <definedName name="pIns_PT_VTAR_B_HOTVSNA_OFFER_1">Предложение!$G$93</definedName>
    <definedName name="pIns_PT_VTAR_B_HOTVSNA_OFFER_2">Предложение!$G$238</definedName>
    <definedName name="pIns_PT_VTAR_B_HOTVSNA_OFFER_3">Предложение!$G$381</definedName>
    <definedName name="pIns_PT_VTAR_B_HOTVSNA_OFFER_4">Предложение!$G$464</definedName>
    <definedName name="pIns_PT_VTAR_B_HOTVSNA_OFFER_5">Предложение!$G$607</definedName>
    <definedName name="pIns_PT_VTAR_B_OFFER_1">Предложение!$G$43</definedName>
    <definedName name="pIns_PT_VTAR_B_OFFER_2">Предложение!$G$164</definedName>
    <definedName name="pIns_PT_VTAR_B_OFFER_3">Предложение!$G$307</definedName>
    <definedName name="pIns_PT_VTAR_B_OFFER_4">Предложение!$G$414</definedName>
    <definedName name="pIns_PT_VTAR_B_OFFER_5">Предложение!$G$533</definedName>
    <definedName name="pIns_PT_VTAR_B_VOTV">'ВО. Т-транс'!$T$53</definedName>
    <definedName name="pIns_PT_VTAR_B_VOTV_OFFER_1">Предложение!$G$102</definedName>
    <definedName name="pIns_PT_VTAR_B_VOTV_OFFER_2">Предложение!$G$247</definedName>
    <definedName name="pIns_PT_VTAR_B_VOTV_OFFER_3">Предложение!$G$390</definedName>
    <definedName name="pIns_PT_VTAR_B_VOTV_OFFER_4">Предложение!$G$473</definedName>
    <definedName name="pIns_PT_VTAR_B_VOTV_OFFER_5">Предложение!$G$616</definedName>
    <definedName name="pIns_PT_VTAR_C">'ТС. Т-ТН'!$T$85</definedName>
    <definedName name="pIns_PT_VTAR_C_COLDVSNA">'ХВС. Т-транс'!$T$53</definedName>
    <definedName name="pIns_PT_VTAR_C_COLDVSNA_OFFER_1">Предложение!$G$81</definedName>
    <definedName name="pIns_PT_VTAR_C_COLDVSNA_OFFER_2">Предложение!$G$226</definedName>
    <definedName name="pIns_PT_VTAR_C_COLDVSNA_OFFER_3">Предложение!$G$369</definedName>
    <definedName name="pIns_PT_VTAR_C_COLDVSNA_OFFER_4">Предложение!$G$452</definedName>
    <definedName name="pIns_PT_VTAR_C_COLDVSNA_OFFER_5">Предложение!$G$595</definedName>
    <definedName name="pIns_PT_VTAR_C_HOTVSNA">'ГВС. Т-подкл'!$T$63</definedName>
    <definedName name="pIns_PT_VTAR_C_HOTVSNA_OFFER_1">Предложение!$G$96</definedName>
    <definedName name="pIns_PT_VTAR_C_HOTVSNA_OFFER_2">Предложение!$G$241</definedName>
    <definedName name="pIns_PT_VTAR_C_HOTVSNA_OFFER_3">Предложение!$G$384</definedName>
    <definedName name="pIns_PT_VTAR_C_HOTVSNA_OFFER_4">Предложение!$G$467</definedName>
    <definedName name="pIns_PT_VTAR_C_HOTVSNA_OFFER_5">Предложение!$G$610</definedName>
    <definedName name="pIns_PT_VTAR_C_OFFER_1">Предложение!$G$50</definedName>
    <definedName name="pIns_PT_VTAR_C_OFFER_2">Предложение!$G$183</definedName>
    <definedName name="pIns_PT_VTAR_C_OFFER_3">Предложение!$G$326</definedName>
    <definedName name="pIns_PT_VTAR_C_OFFER_4">Предложение!$G$421</definedName>
    <definedName name="pIns_PT_VTAR_C_OFFER_5">Предложение!$G$552</definedName>
    <definedName name="pIns_PT_VTAR_C_VOTV">'ВО. Т-подкл'!$T$63</definedName>
    <definedName name="pIns_PT_VTAR_C_VOTV_OFFER_1">Предложение!$G$105</definedName>
    <definedName name="pIns_PT_VTAR_C_VOTV_OFFER_2">Предложение!$G$250</definedName>
    <definedName name="pIns_PT_VTAR_C_VOTV_OFFER_3">Предложение!$G$393</definedName>
    <definedName name="pIns_PT_VTAR_C_VOTV_OFFER_4">Предложение!$G$476</definedName>
    <definedName name="pIns_PT_VTAR_C_VOTV_OFFER_5">Предложение!$G$619</definedName>
    <definedName name="pIns_PT_VTAR_D">'ТС. Т-гор.вода'!$V$97</definedName>
    <definedName name="pIns_PT_VTAR_D_COLDVSNA">'ХВС. Т-подвоз'!$T$53</definedName>
    <definedName name="pIns_PT_VTAR_D_COLDVSNA_OFFER_1">Предложение!$G$84</definedName>
    <definedName name="pIns_PT_VTAR_D_COLDVSNA_OFFER_2">Предложение!$G$229</definedName>
    <definedName name="pIns_PT_VTAR_D_COLDVSNA_OFFER_3">Предложение!$G$372</definedName>
    <definedName name="pIns_PT_VTAR_D_COLDVSNA_OFFER_4">Предложение!$G$455</definedName>
    <definedName name="pIns_PT_VTAR_D_COLDVSNA_OFFER_5">Предложение!$G$598</definedName>
    <definedName name="pIns_PT_VTAR_D_OFFER_1">Предложение!$G$57</definedName>
    <definedName name="pIns_PT_VTAR_D_OFFER_2">Предложение!$G$202</definedName>
    <definedName name="pIns_PT_VTAR_D_OFFER_3">Предложение!$G$345</definedName>
    <definedName name="pIns_PT_VTAR_D_OFFER_4">Предложение!$G$428</definedName>
    <definedName name="pIns_PT_VTAR_D_OFFER_5">Предложение!$G$571</definedName>
    <definedName name="pIns_PT_VTAR_E_COLDVSNA">'ХВС. Т-подкл'!$T$63</definedName>
    <definedName name="pIns_PT_VTAR_E_COLDVSNA_OFFER_1">Предложение!$G$87</definedName>
    <definedName name="pIns_PT_VTAR_E_COLDVSNA_OFFER_2">Предложение!$G$232</definedName>
    <definedName name="pIns_PT_VTAR_E_COLDVSNA_OFFER_3">Предложение!$G$375</definedName>
    <definedName name="pIns_PT_VTAR_E_COLDVSNA_OFFER_4">Предложение!$G$458</definedName>
    <definedName name="pIns_PT_VTAR_E_COLDVSNA_OFFER_5">Предложение!$G$601</definedName>
    <definedName name="pIns_PT_VTAR_E1">'ТС. Т-передача ТЭ'!$T$57</definedName>
    <definedName name="pIns_PT_VTAR_E1_OFFER_1">Предложение!$G$60</definedName>
    <definedName name="pIns_PT_VTAR_E1_OFFER_2">Предложение!$G$205</definedName>
    <definedName name="pIns_PT_VTAR_E1_OFFER_3">Предложение!$G$348</definedName>
    <definedName name="pIns_PT_VTAR_E1_OFFER_4">Предложение!$G$431</definedName>
    <definedName name="pIns_PT_VTAR_E1_OFFER_5">Предложение!$G$574</definedName>
    <definedName name="pIns_PT_VTAR_E2">'ТС. Т-передача ТН'!$T$57</definedName>
    <definedName name="pIns_PT_VTAR_E2_OFFER_1">Предложение!$G$63</definedName>
    <definedName name="pIns_PT_VTAR_E2_OFFER_2">Предложение!$G$208</definedName>
    <definedName name="pIns_PT_VTAR_E2_OFFER_3">Предложение!$G$351</definedName>
    <definedName name="pIns_PT_VTAR_E2_OFFER_4">Предложение!$G$434</definedName>
    <definedName name="pIns_PT_VTAR_E2_OFFER_5">Предложение!$G$577</definedName>
    <definedName name="pIns_PT_VTAR_F">'ТС. Резерв мощности'!$T$57</definedName>
    <definedName name="pIns_PT_VTAR_F_OFFER_1">Предложение!$G$66</definedName>
    <definedName name="pIns_PT_VTAR_F_OFFER_2">Предложение!$G$211</definedName>
    <definedName name="pIns_PT_VTAR_F_OFFER_3">Предложение!$G$354</definedName>
    <definedName name="pIns_PT_VTAR_F_OFFER_4">Предложение!$G$437</definedName>
    <definedName name="pIns_PT_VTAR_F_OFFER_5">Предложение!$G$580</definedName>
    <definedName name="pIns_PT_VTAR_G">'ТС. Т-подкл'!$T$62</definedName>
    <definedName name="pIns_PT_VTAR_G_OFFER_1">Предложение!$G$69</definedName>
    <definedName name="pIns_PT_VTAR_G_OFFER_2">Предложение!$G$214</definedName>
    <definedName name="pIns_PT_VTAR_G_OFFER_3">Предложение!$G$357</definedName>
    <definedName name="pIns_PT_VTAR_G_OFFER_4">Предложение!$G$440</definedName>
    <definedName name="pIns_PT_VTAR_G_OFFER_5">Предложение!$G$583</definedName>
    <definedName name="pIns_PT_VTAR_H">'ТС. Т-подкл(инд)'!$T$56</definedName>
    <definedName name="pIns_PT_VTAR_H_OFFER_1">Предложение!$G$72</definedName>
    <definedName name="pIns_PT_VTAR_H_OFFER_2">Предложение!$G$217</definedName>
    <definedName name="pIns_PT_VTAR_H_OFFER_3">Предложение!$G$360</definedName>
    <definedName name="pIns_PT_VTAR_H_OFFER_4">Предложение!$G$443</definedName>
    <definedName name="pIns_PT_VTAR_H_OFFER_5">Предложение!$G$586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&gt;=25МВт'!$BR$39</definedName>
    <definedName name="pIns_ver_HEAT_TARIFF_B">'ТС. Т-ТЭ | ТСО'!$BR$39</definedName>
    <definedName name="pIns_ver_HEAT_TARIFF_C">'ТС. Т-ТН'!$BR$39</definedName>
    <definedName name="pIns_ver_HEAT_TARIFF_D">'ТС. Т-гор.вода'!$BZ$43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тарифов'!$AL$12:$AL$181</definedName>
    <definedName name="PT_DIFFERENTIATION_CS_ID">'Перечень тарифов'!$AF$12:$AF$181</definedName>
    <definedName name="PT_DIFFERENTIATION_IST_TE">'Перечень тарифов'!$AM$12:$AM$181</definedName>
    <definedName name="PT_DIFFERENTIATION_IST_TE_ID">'Перечень тарифов'!$AG$12:$AG$181</definedName>
    <definedName name="PT_DIFFERENTIATION_NTAR">'Перечень тарифов'!$AJ$12:$AJ$181</definedName>
    <definedName name="PT_DIFFERENTIATION_NTAR_ID">'Перечень тарифов'!$AD$12:$AD$181</definedName>
    <definedName name="PT_DIFFERENTIATION_NUM_CS">'Перечень тарифов'!$AP$12:$AP$181</definedName>
    <definedName name="PT_DIFFERENTIATION_NUM_IST_TE">'Перечень тарифов'!$AQ$12:$AQ$181</definedName>
    <definedName name="PT_DIFFERENTIATION_NUM_NTAR">'Перечень тарифов'!$AN$12:$AN$181</definedName>
    <definedName name="PT_DIFFERENTIATION_NUM_TER">'Перечень тарифов'!$AO$12:$AO$181</definedName>
    <definedName name="PT_DIFFERENTIATION_TER">'Перечень тарифов'!$AK$12:$AK$181</definedName>
    <definedName name="PT_DIFFERENTIATION_TER_ID">'Перечень тарифов'!$AE$12:$AE$181</definedName>
    <definedName name="PT_DIFFERENTIATION_VDET">'Перечень тарифов'!$AI$12:$AI$181</definedName>
    <definedName name="PT_DIFFERENTIATION_VTAR">'Перечень тарифов'!$AH$12:$AH$181</definedName>
    <definedName name="PT_DIFFERENTIATION_VTAR_ID">'Перечень тарифов'!$AC$12:$AC$181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тарифов'!$F$107</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тарифов'!$W$180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Предложение!$L$620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Предложение!$L$620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&gt;=25МВт'!$BR$86</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ТСО'!$BR$128</definedName>
    <definedName name="tblEnd_1_TARIFF_B_COLDVSNA">'ХВС. Т-тех'!$AJ$54</definedName>
    <definedName name="tblEnd_1_TARIFF_B_HOTVSNA">'ГВС. Т-транс'!$AR$55</definedName>
    <definedName name="tblEnd_1_TARIFF_B_VOTV">'ВО. Т-транс'!$AJ$54</definedName>
    <definedName name="tblEnd_1_TARIFF_C">'ТС. Т-ТН'!$BR$86</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Т-гор.вода'!$BZ$98</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pt_ntar_30">'ТС. Т-ТН'!$57:$70</definedName>
    <definedName name="pt_ter_30">'ТС. Т-ТН'!$58:$69</definedName>
    <definedName name="pt_cs_30">'ТС. Т-ТН'!$59:$68</definedName>
    <definedName name="pt_ist_te_30">'ТС. Т-ТН'!$60:$67</definedName>
    <definedName name="pt_ntar_301">'ТС. Т-ТН'!$71:$84</definedName>
    <definedName name="pt_ter_31">'ТС. Т-ТН'!$72:$83</definedName>
    <definedName name="pt_cs_31">'ТС. Т-ТН'!$73:$82</definedName>
    <definedName name="pt_ist_te_31">'ТС. Т-ТН'!$74:$81</definedName>
    <definedName name="pt_ntar_3011">'ТС. Т-гор.вода'!$65:$80</definedName>
    <definedName name="pt_ter_32">'ТС. Т-гор.вода'!$66:$79</definedName>
    <definedName name="pt_cs_32">'ТС. Т-гор.вода'!$67:$78</definedName>
    <definedName name="pt_ist_te_32">'ТС. Т-гор.вода'!$68:$77</definedName>
    <definedName name="pt_ntar_30111">'ТС. Т-гор.вода'!$81:$96</definedName>
    <definedName name="pt_ter_33">'ТС. Т-гор.вода'!$82:$95</definedName>
    <definedName name="pt_cs_33">'ТС. Т-гор.вода'!$83:$94</definedName>
    <definedName name="pt_ist_te_33">'ТС. Т-гор.вода'!$84:$93</definedName>
    <definedName name="pt_ntar_301111">'ТС. Т-ТЭ | &gt;=25МВт'!$57:$70</definedName>
    <definedName name="pt_ter_34">'ТС. Т-ТЭ | &gt;=25МВт'!$58:$69</definedName>
    <definedName name="pt_cs_34">'ТС. Т-ТЭ | &gt;=25МВт'!$59:$68</definedName>
    <definedName name="pt_ist_te_34">'ТС. Т-ТЭ | &gt;=25МВт'!$60:$67</definedName>
    <definedName name="pt_ntar_3011111">'ТС. Т-ТЭ | &gt;=25МВт'!$71:$84</definedName>
    <definedName name="pt_ter_35">'ТС. Т-ТЭ | &gt;=25МВт'!$72:$83</definedName>
    <definedName name="pt_cs_35">'ТС. Т-ТЭ | &gt;=25МВт'!$73:$82</definedName>
    <definedName name="pt_ist_te_35">'ТС. Т-ТЭ | &gt;=25МВт'!$74:$81</definedName>
    <definedName name="pt_ntar_30111111">'ТС. Т-ТЭ | ТСО'!$57:$70</definedName>
    <definedName name="pt_ter_36">'ТС. Т-ТЭ | ТСО'!$58:$69</definedName>
    <definedName name="pt_cs_36">'ТС. Т-ТЭ | ТСО'!$59:$68</definedName>
    <definedName name="pt_ist_te_36">'ТС. Т-ТЭ | ТСО'!$60:$67</definedName>
    <definedName name="pt_ntar_301111111">'ТС. Т-ТЭ | ТСО'!$71:$84</definedName>
    <definedName name="pt_ter_37">'ТС. Т-ТЭ | ТСО'!$72:$83</definedName>
    <definedName name="pt_cs_37">'ТС. Т-ТЭ | ТСО'!$73:$82</definedName>
    <definedName name="pt_ist_te_37">'ТС. Т-ТЭ | ТСО'!$74:$81</definedName>
    <definedName name="pt_ntar_3011111111">'ТС. Т-ТЭ | ТСО'!$85:$98</definedName>
    <definedName name="pt_ter_38">'ТС. Т-ТЭ | ТСО'!$86:$97</definedName>
    <definedName name="pt_cs_38">'ТС. Т-ТЭ | ТСО'!$87:$96</definedName>
    <definedName name="pt_ist_te_38">'ТС. Т-ТЭ | ТСО'!$88:$95</definedName>
    <definedName name="pt_ntar_30111111111">'ТС. Т-ТЭ | ТСО'!$99:$112</definedName>
    <definedName name="pt_ter_39">'ТС. Т-ТЭ | ТСО'!$100:$111</definedName>
    <definedName name="pt_cs_39">'ТС. Т-ТЭ | ТСО'!$101:$110</definedName>
    <definedName name="pt_ist_te_39">'ТС. Т-ТЭ | ТСО'!$102:$109</definedName>
    <definedName name="pt_ntar_301111111111">'ТС. Т-ТЭ | ТСО'!$113:$126</definedName>
    <definedName name="pt_ter_40">'ТС. Т-ТЭ | ТСО'!$114:$125</definedName>
    <definedName name="pt_cs_40">'ТС. Т-ТЭ | ТСО'!$115:$124</definedName>
    <definedName name="pt_ist_te_40">'ТС. Т-ТЭ | ТСО'!$116:$123</definedName>
    <definedName name="DESCRIPTION_TERRITORY">REESTR_DS!$B$2:$B$4</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<sst xmlns="http://schemas.openxmlformats.org/spreadsheetml/2006/main" count="16330" uniqueCount="3721">
  <si>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</si>
  <si>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</si>
  <si>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</si>
  <si>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</si>
  <si>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</si>
  <si>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</si>
  <si>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</si>
  <si>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</si>
  <si>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</si>
  <si>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</si>
  <si>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</si>
  <si>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</si>
  <si>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</si>
  <si>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31664312</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</si>
  <si>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</si>
  <si>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</si>
  <si>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</si>
  <si>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</si>
  <si>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</si>
  <si>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</si>
  <si>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</si>
  <si>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</si>
  <si>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</si>
  <si>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</si>
  <si>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</si>
  <si>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</si>
  <si>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</si>
  <si>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</si>
  <si>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</si>
  <si>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</si>
  <si>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</si>
  <si>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</si>
  <si>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</si>
  <si>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</si>
  <si>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</si>
  <si>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</si>
  <si>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</si>
  <si>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</si>
  <si>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</si>
  <si>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</si>
  <si>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</si>
  <si>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ДГК-01.1/8174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</si>
  <si>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</si>
  <si>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</si>
  <si>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</si>
  <si>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Исх-260/1781</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</si>
  <si>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</si>
  <si>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</si>
  <si>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</si>
  <si>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</si>
  <si>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</si>
  <si>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</si>
  <si>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253645001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</si>
  <si>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</si>
  <si>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</si>
  <si>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</si>
  <si>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</si>
  <si>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</si>
  <si>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</si>
  <si>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</si>
  <si>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</si>
  <si>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</si>
  <si>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</si>
  <si>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</si>
  <si>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</si>
  <si>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</si>
  <si>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</si>
  <si>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</si>
  <si>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</si>
  <si>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</si>
  <si>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</si>
  <si>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г.Хабаровск, ул. Фрунзе, 49</t>
  </si>
  <si>
    <t>Фамилия, имя, отчество руководителя</t>
  </si>
  <si>
    <t>Иртов Сергей Викторовичвич</t>
  </si>
  <si>
    <t>Ответственный за заполнение формы</t>
  </si>
  <si>
    <t>Фамилия, имя, отчество</t>
  </si>
  <si>
    <t>Дроговоз Александр Геннадьевич</t>
  </si>
  <si>
    <t>Должность</t>
  </si>
  <si>
    <t>Главный специалист группы цен и тарифов СП ПТС</t>
  </si>
  <si>
    <t>Контактный телефон</t>
  </si>
  <si>
    <t>(423) 2-62-97-00 доб. 55-451</t>
  </si>
  <si>
    <t>E-mail</t>
  </si>
  <si>
    <t>Drogovoz-AG@dgk.ru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</si>
  <si>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</si>
  <si>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</si>
  <si>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</si>
  <si>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</si>
  <si>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</si>
  <si>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</si>
  <si>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</si>
  <si>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</si>
  <si>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</si>
  <si>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</si>
  <si>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</si>
  <si>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</si>
  <si>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</si>
  <si>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</si>
  <si>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</si>
  <si>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</si>
  <si>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</si>
  <si>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Артемовский городской округ</t>
  </si>
  <si>
    <t>05705000</t>
  </si>
  <si>
    <t>Добавить МО</t>
  </si>
  <si>
    <t>2</t>
  </si>
  <si>
    <t>×</t>
  </si>
  <si>
    <t>ter_5</t>
  </si>
  <si>
    <t>Владивостокский городской округ</t>
  </si>
  <si>
    <t>05701000</t>
  </si>
  <si>
    <t>ter_51</t>
  </si>
  <si>
    <t>54</t>
  </si>
  <si>
    <t>Партизанский городской округ</t>
  </si>
  <si>
    <t>05717000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</si>
  <si>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</si>
  <si>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</si>
  <si>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</si>
  <si>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</si>
  <si>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</si>
  <si>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</si>
  <si>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</si>
  <si>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</si>
  <si>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</si>
  <si>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</si>
  <si>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</si>
  <si>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</si>
  <si>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</si>
  <si>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</si>
  <si>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</si>
  <si>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</si>
  <si>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</si>
  <si>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</si>
  <si>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</si>
  <si>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</si>
  <si>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</si>
  <si>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</si>
  <si>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</si>
  <si>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</si>
  <si>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</si>
  <si>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</si>
  <si>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</si>
  <si>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</si>
  <si>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</si>
  <si>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</si>
  <si>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</si>
  <si>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</si>
  <si>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</si>
  <si>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</si>
  <si>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</si>
  <si>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</si>
  <si>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</si>
  <si>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</si>
  <si>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</si>
  <si>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</si>
  <si>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</si>
  <si>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</si>
  <si>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</si>
  <si>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</si>
  <si>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</si>
  <si>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</si>
  <si>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</si>
  <si>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</si>
  <si>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</si>
  <si>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</si>
  <si>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</si>
  <si>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 (мощность) на коллекторах источников тепловой энергии на территории Артемовского городского округа Приморского края</t>
  </si>
  <si>
    <t>Артемовская ТЭЦ</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</si>
  <si>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</si>
  <si>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</si>
  <si>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</si>
  <si>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</si>
  <si>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</si>
  <si>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</si>
  <si>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</si>
  <si>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</si>
  <si>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</si>
  <si>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Тариф на тепловую энергию (мощность) на коллекторах источников тепловой энергии на территории Владивостокского городского округа Приморского края</t>
  </si>
  <si>
    <t>ТЭЦ Восточная</t>
  </si>
  <si>
    <t>pt_ntar_301111</t>
  </si>
  <si>
    <t>pt_ter_34</t>
  </si>
  <si>
    <t>pt_cs_34</t>
  </si>
  <si>
    <t>pt_ist_te_34</t>
  </si>
  <si>
    <t>Тариф на тепловую энергию (мощность) на коллекторах источников тепловой энергии на территории Партизанского городского округа Приморского края</t>
  </si>
  <si>
    <t>Партизанская ГРЭС</t>
  </si>
  <si>
    <t>pt_ntar_3011111</t>
  </si>
  <si>
    <t>pt_ter_35</t>
  </si>
  <si>
    <t>pt_cs_35</t>
  </si>
  <si>
    <t>pt_ist_te_35</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</si>
  <si>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</si>
  <si>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</si>
  <si>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поставляемую потребителям АО "ДГК" на территории Артемовского городского округа Приморского края</t>
  </si>
  <si>
    <t>"4190064"; "4190066"; "4190068"; "4190070"</t>
  </si>
  <si>
    <t>pIns_PT_VTAR_B</t>
  </si>
  <si>
    <t>pt_ntar_2</t>
  </si>
  <si>
    <t>pt_ter_2</t>
  </si>
  <si>
    <t>pt_cs_2</t>
  </si>
  <si>
    <t>pt_ist_te_2</t>
  </si>
  <si>
    <t>Тариф на тепловую энергию, поставляемую потребителям АО "ДГК" на территории Владивостокского городского округа Приморского края</t>
  </si>
  <si>
    <t>pt_ntar_30111111</t>
  </si>
  <si>
    <t>pt_ter_36</t>
  </si>
  <si>
    <t>pt_cs_36</t>
  </si>
  <si>
    <t>pt_ist_te_36</t>
  </si>
  <si>
    <t>Тариф на тепловую энергию, поставляемую потребителям АО "ДГК" на территории Партизанского городского округа Приморского края</t>
  </si>
  <si>
    <t>pt_ntar_301111111</t>
  </si>
  <si>
    <t>pt_ter_37</t>
  </si>
  <si>
    <t>pt_cs_37</t>
  </si>
  <si>
    <t>pt_ist_te_37</t>
  </si>
  <si>
    <t>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t>
  </si>
  <si>
    <t>pt_ntar_3011111111</t>
  </si>
  <si>
    <t>pt_ter_38</t>
  </si>
  <si>
    <t>pt_cs_38</t>
  </si>
  <si>
    <t>pt_ist_te_38</t>
  </si>
  <si>
    <t>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t>
  </si>
  <si>
    <t>pt_ntar_30111111111</t>
  </si>
  <si>
    <t>pt_ter_39</t>
  </si>
  <si>
    <t>pt_cs_39</t>
  </si>
  <si>
    <t>pt_ist_te_39</t>
  </si>
  <si>
    <t>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t>
  </si>
  <si>
    <t>pt_ntar_301111111111</t>
  </si>
  <si>
    <t>pt_ter_40</t>
  </si>
  <si>
    <t>pt_cs_40</t>
  </si>
  <si>
    <t>pt_ist_te_40</t>
  </si>
  <si>
    <t>Тарифы на теплоноситель, поставляемый теплоснабжающими организациями потребителям, другим теплоснабжающим организациям</t>
  </si>
  <si>
    <t>Тарифы на теплоноситель, поставляемый потребителям Артемовского городского округа</t>
  </si>
  <si>
    <t>"4190067"; "4190069"; "4190071"</t>
  </si>
  <si>
    <t>pIns_PT_VTAR_C</t>
  </si>
  <si>
    <t>pt_ntar_3</t>
  </si>
  <si>
    <t>pt_ter_3</t>
  </si>
  <si>
    <t>pt_cs_3</t>
  </si>
  <si>
    <t>pt_ist_te_3</t>
  </si>
  <si>
    <t>Тарифы на теплоноситель, поставляемый потребителям Владивостокского городского округа</t>
  </si>
  <si>
    <t>pt_ntar_30</t>
  </si>
  <si>
    <t>pt_ter_30</t>
  </si>
  <si>
    <t>pt_cs_30</t>
  </si>
  <si>
    <t>pt_ist_te_30</t>
  </si>
  <si>
    <t>Тарифы на теплоноситель, поставляемый потребителям Партизанского городского округа</t>
  </si>
  <si>
    <t>pt_ntar_301</t>
  </si>
  <si>
    <t>pt_ter_31</t>
  </si>
  <si>
    <t>pt_cs_31</t>
  </si>
  <si>
    <t>pt_ist_te_31</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</si>
  <si>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</si>
  <si>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горячую воду в открытых системах теплоснабжения (горячего водоснабжения) на территории Артемовского городского округа</t>
  </si>
  <si>
    <t>pIns_PT_VTAR_D</t>
  </si>
  <si>
    <t>pt_ntar_4</t>
  </si>
  <si>
    <t>pt_ter_4</t>
  </si>
  <si>
    <t>pt_cs_4</t>
  </si>
  <si>
    <t>pt_ist_te_4</t>
  </si>
  <si>
    <t>Тарифы на горячую воду в открытых системах теплоснабжения (горячего водоснабжения) на территории Владивостокского городского округа</t>
  </si>
  <si>
    <t>pt_ntar_3011</t>
  </si>
  <si>
    <t>pt_ter_32</t>
  </si>
  <si>
    <t>pt_cs_32</t>
  </si>
  <si>
    <t>pt_ist_te_32</t>
  </si>
  <si>
    <t>Тарифы на горячую воду в открытых системах теплоснабжения (горячего водоснабжения) на территории Партизанского городского округа</t>
  </si>
  <si>
    <t>pt_ntar_30111</t>
  </si>
  <si>
    <t>pt_ter_33</t>
  </si>
  <si>
    <t>pt_cs_33</t>
  </si>
  <si>
    <t>pt_ist_te_33</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</si>
  <si>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</si>
  <si>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</si>
  <si>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</si>
  <si>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</si>
  <si>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</si>
  <si>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</si>
  <si>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</si>
  <si>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</si>
  <si>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</si>
  <si>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</si>
  <si>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</si>
  <si>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</si>
  <si>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</si>
  <si>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</si>
  <si>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</si>
  <si>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</si>
  <si>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</si>
  <si>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</si>
  <si>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</si>
  <si>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</si>
  <si>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</si>
  <si>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</si>
  <si>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</si>
  <si>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</si>
  <si>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</si>
  <si>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</si>
  <si>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</si>
  <si>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</si>
  <si>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</si>
  <si>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</si>
  <si>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</si>
  <si>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</si>
  <si>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</si>
  <si>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</si>
  <si>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</si>
  <si>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</si>
  <si>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</si>
  <si>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</si>
  <si>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</si>
  <si>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</si>
  <si>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</si>
  <si>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</si>
  <si>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</si>
  <si>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</si>
  <si>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</si>
  <si>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</si>
  <si>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</si>
  <si>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</si>
  <si>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</si>
  <si>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</si>
  <si>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</si>
  <si>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</si>
  <si>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</si>
  <si>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</si>
  <si>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</si>
  <si>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</si>
  <si>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</si>
  <si>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</si>
  <si>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</si>
  <si>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</si>
  <si>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</si>
  <si>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</si>
  <si>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</si>
  <si>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</si>
  <si>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</si>
  <si>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</si>
  <si>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</si>
  <si>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</si>
  <si>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</si>
  <si>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</si>
  <si>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</si>
  <si>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</si>
  <si>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</si>
  <si>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</si>
  <si>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</si>
  <si>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</si>
  <si>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</si>
  <si>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</si>
  <si>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</si>
  <si>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</si>
  <si>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</si>
  <si>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</si>
  <si>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</si>
  <si>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</si>
  <si>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</si>
  <si>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</si>
  <si>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</si>
  <si>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</si>
  <si>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</si>
  <si>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</si>
  <si>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</si>
  <si>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</si>
  <si>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</si>
  <si>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</si>
  <si>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</si>
  <si>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</si>
  <si>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</si>
  <si>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</si>
  <si>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</si>
  <si>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</si>
  <si>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</si>
  <si>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</si>
  <si>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</si>
  <si>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</si>
  <si>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</si>
  <si>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</si>
  <si>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</si>
  <si>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</si>
  <si>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</si>
  <si>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</si>
  <si>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</si>
  <si>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</si>
  <si>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</si>
  <si>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</si>
  <si>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</si>
  <si>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</si>
  <si>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</si>
  <si>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</si>
  <si>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</si>
  <si>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</si>
  <si>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</si>
  <si>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</si>
  <si>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</si>
  <si>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</si>
  <si>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</si>
  <si>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</si>
  <si>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</si>
  <si>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</si>
  <si>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</si>
  <si>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</si>
  <si>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</si>
  <si>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</si>
  <si>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</si>
  <si>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</si>
  <si>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</si>
  <si>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</si>
  <si>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</si>
  <si>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</si>
  <si>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</si>
  <si>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</si>
  <si>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</si>
  <si>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</si>
  <si>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</si>
  <si>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</si>
  <si>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</si>
  <si>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</si>
  <si>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</si>
  <si>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</si>
  <si>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</si>
  <si>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</si>
  <si>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</si>
  <si>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</si>
  <si>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</si>
  <si>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</si>
  <si>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</si>
  <si>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</si>
  <si>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</si>
  <si>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</si>
  <si>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</si>
  <si>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</si>
  <si>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</si>
  <si>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</si>
  <si>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</si>
  <si>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</si>
  <si>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</si>
  <si>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</si>
  <si>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</si>
  <si>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</si>
  <si>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</si>
  <si>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</si>
  <si>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</si>
  <si>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</si>
  <si>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</si>
  <si>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</si>
  <si>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</si>
  <si>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</si>
  <si>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</si>
  <si>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</si>
  <si>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</si>
  <si>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</si>
  <si>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</si>
  <si>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</si>
  <si>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</si>
  <si>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</si>
  <si>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</si>
  <si>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</si>
  <si>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</si>
  <si>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</si>
  <si>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</si>
  <si>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</si>
  <si>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</si>
  <si>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</si>
  <si>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</si>
  <si>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</si>
  <si>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</si>
  <si>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</si>
  <si>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</si>
  <si>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</si>
  <si>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</si>
  <si>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</si>
  <si>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</si>
  <si>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</si>
  <si>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</si>
  <si>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</si>
  <si>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</si>
  <si>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</si>
  <si>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</si>
  <si>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</si>
  <si>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</si>
  <si>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</si>
  <si>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</si>
  <si>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</si>
  <si>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</si>
  <si>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</si>
  <si>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</si>
  <si>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</si>
  <si>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</si>
  <si>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</si>
  <si>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</si>
  <si>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</si>
  <si>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</si>
  <si>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</si>
  <si>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</si>
  <si>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</si>
  <si>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</si>
  <si>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</si>
  <si>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</si>
  <si>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</si>
  <si>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</si>
  <si>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</si>
  <si>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</si>
  <si>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</si>
  <si>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</si>
  <si>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</si>
  <si>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</si>
  <si>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</si>
  <si>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</si>
  <si>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</si>
  <si>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</si>
  <si>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</si>
  <si>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</si>
  <si>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</si>
  <si>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</si>
  <si>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</si>
  <si>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</si>
  <si>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</si>
  <si>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</si>
  <si>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</si>
  <si>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</si>
  <si>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</si>
  <si>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</si>
  <si>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</si>
  <si>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</si>
  <si>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</si>
  <si>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</si>
  <si>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</si>
  <si>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</si>
  <si>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</si>
  <si>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</si>
  <si>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</si>
  <si>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</si>
  <si>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</si>
  <si>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</si>
  <si>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</si>
  <si>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</si>
  <si>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</si>
  <si>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</si>
  <si>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</si>
  <si>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</si>
  <si>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</si>
  <si>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</si>
  <si>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</si>
  <si>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</si>
  <si>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</si>
  <si>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</si>
  <si>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</si>
  <si>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</si>
  <si>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</si>
  <si>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</si>
  <si>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</si>
  <si>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</si>
  <si>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</si>
  <si>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</si>
  <si>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</si>
  <si>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</si>
  <si>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</si>
  <si>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</si>
  <si>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</si>
  <si>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</si>
  <si>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</si>
  <si>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</si>
  <si>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</si>
  <si>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</si>
  <si>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</si>
  <si>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</si>
  <si>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</si>
  <si>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</si>
  <si>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</si>
  <si>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</si>
  <si>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</si>
  <si>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</si>
  <si>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</si>
  <si>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</si>
  <si>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</si>
  <si>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</si>
  <si>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</si>
  <si>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</si>
  <si>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</si>
  <si>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</si>
  <si>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</si>
  <si>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</si>
  <si>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</si>
  <si>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</si>
  <si>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</si>
  <si>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</si>
  <si>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</si>
  <si>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</si>
  <si>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</si>
  <si>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</si>
  <si>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</si>
  <si>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</si>
  <si>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</si>
  <si>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</si>
  <si>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</si>
  <si>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</si>
  <si>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</si>
  <si>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</si>
  <si>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</si>
  <si>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</si>
  <si>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</si>
  <si>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</si>
  <si>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</si>
  <si>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</si>
  <si>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</si>
  <si>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</si>
  <si>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</si>
  <si>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</si>
  <si>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</si>
  <si>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</si>
  <si>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</si>
  <si>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</si>
  <si>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</si>
  <si>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</si>
  <si>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</si>
  <si>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</si>
  <si>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</si>
  <si>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</si>
  <si>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</si>
  <si>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</si>
  <si>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</si>
  <si>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</si>
  <si>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</si>
  <si>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</si>
  <si>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</si>
  <si>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</si>
  <si>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</si>
  <si>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</si>
  <si>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</si>
  <si>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</si>
  <si>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</si>
  <si>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</si>
  <si>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</si>
  <si>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</si>
  <si>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</si>
  <si>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</si>
  <si>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</si>
  <si>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</si>
  <si>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</si>
  <si>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</si>
  <si>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</si>
  <si>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</si>
  <si>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</si>
  <si>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</si>
  <si>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</si>
  <si>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</si>
  <si>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</si>
  <si>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</si>
  <si>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</si>
  <si>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</si>
  <si>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</si>
  <si>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</si>
  <si>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</si>
  <si>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</si>
  <si>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</si>
  <si>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</si>
  <si>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</si>
  <si>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</si>
  <si>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</si>
  <si>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</si>
  <si>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</si>
  <si>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</si>
  <si>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</si>
  <si>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</si>
  <si>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</si>
  <si>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</si>
  <si>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</si>
  <si>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</si>
  <si>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</si>
  <si>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</si>
  <si>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</si>
  <si>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</si>
  <si>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</si>
  <si>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</si>
  <si>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</si>
  <si>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</si>
  <si>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</si>
  <si>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</si>
  <si>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</si>
  <si>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</si>
  <si>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</si>
  <si>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</si>
  <si>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</si>
  <si>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</si>
  <si>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</si>
  <si>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</si>
  <si>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</si>
  <si>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</si>
  <si>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</si>
  <si>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</si>
  <si>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</si>
  <si>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</si>
  <si>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</si>
  <si>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</si>
  <si>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</si>
  <si>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</si>
  <si>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</si>
  <si>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</si>
  <si>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</si>
  <si>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</si>
  <si>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</si>
  <si>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</si>
  <si>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</si>
  <si>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</si>
  <si>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</si>
  <si>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</si>
  <si>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</si>
  <si>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</si>
  <si>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</si>
  <si>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</si>
  <si>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</si>
  <si>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</si>
  <si>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</si>
  <si>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</si>
  <si>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</si>
  <si>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</si>
  <si>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</si>
  <si>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</si>
  <si>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</si>
  <si>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</si>
  <si>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</si>
  <si>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</si>
  <si>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</si>
  <si>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</si>
  <si>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</si>
  <si>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</si>
  <si>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</si>
  <si>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</si>
  <si>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</si>
  <si>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</si>
  <si>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</si>
  <si>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</si>
  <si>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</si>
  <si>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</si>
  <si>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</si>
  <si>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</si>
  <si>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</si>
  <si>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</si>
  <si>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</si>
  <si>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</si>
  <si>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</si>
  <si>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</si>
  <si>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</si>
  <si>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</si>
  <si>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</si>
  <si>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</si>
  <si>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</si>
  <si>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</si>
  <si>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</si>
  <si>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</si>
  <si>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</si>
  <si>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</si>
  <si>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</si>
  <si>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</si>
  <si>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</si>
  <si>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</si>
  <si>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</si>
  <si>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</si>
  <si>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</si>
  <si>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</si>
  <si>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</si>
  <si>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</si>
  <si>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</si>
  <si>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</si>
  <si>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</si>
  <si>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</si>
  <si>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</si>
  <si>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</si>
  <si>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</si>
  <si>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</si>
  <si>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</si>
  <si>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</si>
  <si>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</si>
  <si>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</si>
  <si>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</si>
  <si>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</si>
  <si>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</si>
  <si>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</si>
  <si>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</si>
  <si>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</si>
  <si>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</si>
  <si>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</si>
  <si>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</si>
  <si>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</si>
  <si>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</si>
  <si>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</si>
  <si>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</si>
  <si>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</si>
  <si>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</si>
  <si>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</si>
  <si>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</si>
  <si>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</si>
  <si>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</si>
  <si>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</si>
  <si>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</si>
  <si>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</si>
  <si>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</si>
  <si>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</si>
  <si>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</si>
  <si>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</si>
  <si>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</si>
  <si>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</si>
  <si>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</si>
  <si>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</si>
  <si>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</si>
  <si>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</si>
  <si>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</si>
  <si>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</si>
  <si>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</si>
  <si>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</si>
  <si>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</si>
  <si>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</si>
  <si>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</si>
  <si>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</si>
  <si>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</si>
  <si>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</si>
  <si>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</si>
  <si>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</si>
  <si>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</si>
  <si>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</si>
  <si>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</si>
  <si>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</si>
  <si>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</si>
  <si>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</si>
  <si>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</si>
  <si>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</si>
  <si>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</si>
  <si>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</si>
  <si>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</si>
  <si>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</si>
  <si>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</si>
  <si>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</si>
  <si>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</si>
  <si>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</si>
  <si>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</si>
  <si>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</si>
  <si>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</si>
  <si>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</si>
  <si>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</si>
  <si>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</si>
  <si>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</si>
  <si>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</si>
  <si>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</si>
  <si>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</si>
  <si>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</si>
  <si>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</si>
  <si>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</si>
  <si>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</si>
  <si>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</si>
  <si>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</si>
  <si>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</si>
  <si>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</si>
  <si>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</si>
  <si>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</si>
  <si>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</si>
  <si>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</si>
  <si>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</si>
  <si>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</si>
  <si>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</si>
  <si>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</si>
  <si>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</si>
  <si>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</si>
  <si>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</si>
  <si>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</si>
  <si>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</si>
  <si>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</si>
  <si>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</si>
  <si>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</si>
  <si>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</si>
  <si>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</si>
  <si>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</si>
  <si>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</si>
  <si>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</si>
  <si>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</si>
  <si>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</si>
  <si>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</si>
  <si>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</si>
  <si>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</si>
  <si>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</si>
  <si>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</si>
  <si>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</si>
  <si>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</si>
  <si>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</si>
  <si>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</si>
  <si>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</si>
  <si>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</si>
  <si>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</si>
  <si>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</si>
  <si>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</si>
  <si>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</si>
  <si>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</si>
  <si>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</si>
  <si>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</si>
  <si>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</si>
  <si>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</si>
  <si>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</si>
  <si>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</si>
  <si>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</si>
  <si>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</si>
  <si>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</si>
  <si>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</si>
  <si>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</si>
  <si>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</si>
  <si>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</si>
  <si>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</si>
  <si>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</si>
  <si>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</si>
  <si>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</si>
  <si>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</si>
  <si>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</si>
  <si>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</si>
  <si>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</si>
  <si>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</si>
  <si>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</si>
  <si>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</si>
  <si>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</si>
  <si>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</si>
  <si>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</si>
  <si>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</si>
  <si>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</si>
  <si>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</si>
  <si>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</si>
  <si>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</si>
  <si>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</si>
  <si>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</si>
  <si>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</si>
  <si>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</si>
  <si>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</si>
  <si>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</si>
  <si>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</si>
  <si>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</si>
  <si>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</si>
  <si>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</si>
  <si>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</si>
  <si>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</si>
  <si>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</si>
  <si>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</si>
  <si>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</si>
  <si>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</si>
  <si>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</si>
  <si>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</si>
  <si>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</si>
  <si>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</si>
  <si>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</si>
  <si>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</si>
  <si>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</si>
  <si>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</si>
  <si>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</si>
  <si>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</si>
  <si>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</si>
  <si>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</si>
  <si>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</si>
  <si>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</si>
  <si>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</si>
  <si>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</si>
  <si>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</si>
  <si>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</si>
  <si>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</si>
  <si>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</si>
  <si>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</si>
  <si>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</si>
  <si>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</si>
  <si>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</si>
  <si>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</si>
  <si>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</si>
  <si>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</si>
  <si>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</si>
  <si>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</si>
  <si>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</si>
  <si>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</si>
  <si>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</si>
  <si>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</si>
  <si>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</si>
  <si>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</si>
  <si>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</si>
  <si>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</si>
  <si>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</si>
  <si>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</si>
  <si>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</si>
  <si>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</si>
  <si>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</si>
  <si>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</si>
  <si>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</si>
  <si>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</si>
  <si>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</si>
  <si>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</si>
  <si>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</si>
  <si>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</si>
  <si>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</si>
  <si>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</si>
  <si>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</si>
  <si>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</si>
  <si>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</si>
  <si>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</si>
  <si>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</si>
  <si>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</si>
  <si>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</si>
  <si>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</si>
  <si>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</si>
  <si>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</si>
  <si>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</si>
  <si>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</si>
  <si>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</si>
  <si>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</si>
  <si>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</si>
  <si>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</si>
  <si>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</si>
  <si>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</si>
  <si>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</si>
  <si>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</si>
  <si>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</si>
  <si>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</si>
  <si>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</si>
  <si>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</si>
  <si>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</si>
  <si>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</si>
  <si>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</si>
  <si>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</si>
  <si>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</si>
  <si>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</si>
  <si>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</si>
  <si>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</si>
  <si>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</si>
  <si>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</si>
  <si>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</si>
  <si>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</si>
  <si>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</si>
  <si>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</si>
  <si>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</si>
  <si>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</si>
  <si>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</si>
  <si>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</si>
  <si>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</si>
  <si>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</si>
  <si>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</si>
  <si>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</si>
  <si>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</si>
  <si>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</si>
  <si>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</si>
  <si>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</si>
  <si>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</si>
  <si>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</si>
  <si>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</si>
  <si>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</si>
  <si>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</si>
  <si>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</si>
  <si>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</si>
  <si>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</si>
  <si>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</si>
  <si>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</si>
  <si>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</si>
  <si>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</si>
  <si>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</si>
  <si>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</si>
  <si>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</si>
  <si>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</si>
  <si>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</si>
  <si>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</si>
  <si>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</si>
  <si>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</si>
  <si>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</si>
  <si>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</si>
  <si>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</si>
  <si>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</si>
  <si>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</si>
  <si>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</si>
  <si>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</si>
  <si>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</si>
  <si>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</si>
  <si>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</si>
  <si>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</si>
  <si>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</si>
  <si>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</si>
  <si>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</si>
  <si>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</si>
  <si>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</si>
  <si>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</si>
  <si>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</si>
  <si>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</si>
  <si>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</si>
  <si>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</si>
  <si>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</si>
  <si>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</si>
  <si>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</si>
  <si>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</si>
  <si>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</si>
  <si>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</si>
  <si>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</si>
  <si>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</si>
  <si>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</si>
  <si>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</si>
  <si>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</si>
  <si>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</si>
  <si>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</si>
  <si>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</si>
  <si>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</si>
  <si>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</si>
  <si>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</si>
  <si>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</si>
  <si>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</si>
  <si>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</si>
  <si>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</si>
  <si>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</si>
  <si>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</si>
  <si>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</si>
  <si>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</si>
  <si>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</si>
  <si>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</si>
  <si>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</si>
  <si>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</si>
  <si>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</si>
  <si>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</si>
  <si>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</si>
  <si>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</si>
  <si>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</si>
  <si>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</si>
  <si>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</si>
  <si>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</si>
  <si>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</si>
  <si>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</si>
  <si>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</si>
  <si>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</si>
  <si>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</si>
  <si>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</si>
  <si>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</si>
  <si>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</si>
  <si>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</si>
  <si>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</si>
  <si>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</si>
  <si>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</si>
  <si>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</si>
  <si>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</si>
  <si>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</si>
  <si>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</si>
  <si>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</si>
  <si>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</si>
  <si>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</si>
  <si>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</si>
  <si>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</si>
  <si>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</si>
  <si>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</si>
  <si>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</si>
  <si>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</si>
  <si>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</si>
  <si>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</si>
  <si>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</si>
  <si>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</si>
  <si>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</si>
  <si>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</si>
  <si>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</si>
  <si>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</si>
  <si>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</si>
  <si>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</si>
  <si>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</si>
  <si>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</si>
  <si>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</si>
  <si>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</si>
  <si>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</si>
  <si>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</si>
  <si>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</si>
  <si>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</si>
  <si>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</si>
  <si>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</si>
  <si>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</si>
  <si>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</si>
  <si>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</si>
  <si>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</si>
  <si>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</si>
  <si>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</si>
  <si>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</si>
  <si>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</si>
  <si>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</si>
  <si>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</si>
  <si>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</si>
  <si>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</si>
  <si>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</si>
  <si>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</si>
  <si>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</si>
  <si>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</si>
  <si>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</si>
  <si>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</si>
  <si>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</si>
  <si>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</si>
  <si>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</si>
  <si>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</si>
  <si>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</si>
  <si>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</si>
  <si>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</si>
  <si>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</si>
  <si>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</si>
  <si>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</si>
  <si>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</si>
  <si>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</si>
  <si>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</si>
  <si>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</si>
  <si>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</si>
  <si>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</si>
  <si>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</si>
  <si>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</si>
  <si>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</si>
  <si>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</si>
  <si>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</si>
  <si>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</si>
  <si>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</si>
  <si>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</si>
  <si>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</si>
  <si>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</si>
  <si>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</si>
  <si>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</si>
  <si>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</si>
  <si>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</si>
  <si>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</si>
  <si>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</si>
  <si>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</si>
  <si>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</si>
  <si>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</si>
  <si>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</si>
  <si>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</si>
  <si>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</si>
  <si>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</si>
  <si>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</si>
  <si>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</si>
  <si>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</si>
  <si>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</si>
  <si>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</si>
  <si>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</si>
  <si>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</si>
  <si>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</si>
  <si>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</si>
  <si>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</si>
  <si>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</si>
  <si>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</si>
  <si>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</si>
  <si>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</si>
  <si>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</si>
  <si>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</si>
  <si>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</si>
  <si>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</si>
  <si>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</si>
  <si>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</si>
  <si>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</si>
  <si>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https://portal.eias.ru/Portal/DownloadPage.aspx?type=12&amp;guid=100b20d4-9994-4cfc-a907-74c0a4d622ac</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</si>
  <si>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</si>
  <si>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</si>
  <si>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</si>
  <si>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Локальные нормативные документы (акты) Группы "РусГидро" и ПАО "РусГидро"</t>
  </si>
  <si>
    <t>https://portal.eias.ru/Portal/DownloadPage.aspx?type=12&amp;guid=026c6f1b-2ad6-4985-a197-b2a3496ef3d1</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</si>
  <si>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</si>
  <si>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 сайт АО "ДГК"</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</si>
  <si>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</si>
  <si>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</si>
  <si>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</si>
  <si>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</si>
  <si>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</si>
  <si>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</si>
  <si>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</si>
  <si>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</si>
  <si>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</si>
  <si>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</si>
  <si>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</si>
  <si>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</si>
  <si>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</si>
  <si>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</si>
  <si>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</si>
  <si>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</si>
  <si>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</si>
  <si>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</si>
  <si>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</si>
  <si>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</si>
  <si>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</si>
  <si>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</si>
  <si>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</si>
  <si>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</si>
  <si>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</si>
  <si>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</si>
  <si>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</si>
  <si>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</si>
  <si>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</si>
  <si>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</si>
  <si>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</si>
  <si>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</si>
  <si>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</si>
  <si>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</si>
  <si>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</si>
  <si>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</si>
  <si>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</si>
  <si>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</si>
  <si>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</si>
  <si>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</si>
  <si>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</si>
  <si>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</si>
  <si>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</si>
  <si>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</si>
  <si>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</si>
  <si>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</si>
  <si>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</si>
  <si>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</si>
  <si>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</si>
  <si>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</si>
  <si>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</si>
  <si>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</si>
  <si>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</si>
  <si>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</si>
  <si>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</si>
  <si>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</si>
  <si>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</si>
  <si>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</si>
  <si>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</si>
  <si>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</si>
  <si>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</si>
  <si>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</si>
  <si>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</si>
  <si>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</si>
  <si>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</si>
  <si>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</si>
  <si>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</si>
  <si>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</si>
  <si>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</si>
  <si>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</si>
  <si>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</si>
  <si>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</si>
  <si>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</si>
  <si>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</si>
  <si>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</si>
  <si>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</si>
  <si>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</si>
  <si>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</si>
  <si>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</si>
  <si>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</si>
  <si>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</si>
  <si>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</si>
  <si>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</si>
  <si>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</si>
  <si>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</si>
  <si>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</si>
  <si>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</si>
  <si>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</si>
  <si>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</si>
  <si>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</si>
  <si>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</si>
  <si>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</si>
  <si>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</si>
  <si>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</si>
  <si>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</si>
  <si>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</si>
  <si>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</si>
  <si>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</si>
  <si>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</si>
  <si>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</si>
  <si>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</si>
  <si>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</si>
  <si>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</si>
  <si>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</si>
  <si>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</si>
  <si>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</si>
  <si>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</si>
  <si>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</si>
  <si>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</si>
  <si>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</si>
  <si>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</si>
  <si>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</si>
  <si>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</si>
  <si>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</si>
  <si>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</si>
  <si>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</si>
  <si>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</si>
  <si>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</si>
  <si>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</si>
  <si>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</si>
  <si>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</si>
  <si>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</si>
  <si>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</si>
  <si>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</si>
  <si>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</si>
  <si>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</si>
  <si>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</si>
  <si>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</si>
  <si>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</si>
  <si>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</si>
  <si>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</si>
  <si>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</si>
  <si>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</si>
  <si>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</si>
  <si>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</si>
  <si>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</si>
  <si>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</si>
  <si>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</si>
  <si>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</si>
  <si>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</si>
  <si>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</si>
  <si>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</si>
  <si>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</si>
  <si>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</si>
  <si>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</si>
  <si>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</si>
  <si>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</si>
  <si>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</si>
  <si>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</si>
  <si>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</si>
  <si>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</si>
  <si>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</si>
  <si>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</si>
  <si>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</si>
  <si>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</si>
  <si>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</si>
  <si>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</si>
  <si>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</si>
  <si>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</si>
  <si>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</si>
  <si>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</si>
  <si>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</si>
  <si>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</si>
  <si>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</si>
  <si>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</si>
  <si>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</si>
  <si>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</si>
  <si>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</si>
  <si>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</si>
  <si>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</si>
  <si>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</si>
  <si>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</si>
  <si>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</si>
  <si>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</si>
  <si>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</si>
  <si>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</si>
  <si>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</si>
  <si>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</si>
  <si>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</si>
  <si>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</si>
  <si>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</si>
  <si>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</si>
  <si>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</si>
  <si>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</si>
  <si>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</si>
  <si>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</si>
  <si>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</si>
  <si>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</si>
  <si>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</si>
  <si>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</si>
  <si>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</si>
  <si>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</si>
  <si>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</si>
  <si>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</si>
  <si>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</si>
  <si>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</si>
  <si>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</si>
  <si>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</si>
  <si>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</si>
  <si>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</si>
  <si>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</si>
  <si>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</si>
  <si>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</si>
  <si>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</si>
  <si>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</si>
  <si>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</si>
  <si>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</si>
  <si>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</si>
  <si>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</si>
  <si>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</si>
  <si>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</si>
  <si>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</si>
  <si>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</si>
  <si>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</si>
  <si>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</si>
  <si>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</si>
  <si>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</si>
  <si>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</si>
  <si>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</si>
  <si>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</si>
  <si>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</si>
  <si>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</si>
  <si>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</si>
  <si>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</si>
  <si>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</si>
  <si>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</si>
  <si>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</si>
  <si>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</si>
  <si>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</si>
  <si>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</si>
  <si>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</si>
  <si>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</si>
  <si>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</si>
  <si>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</si>
  <si>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</si>
  <si>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</si>
  <si>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</si>
  <si>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</si>
  <si>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</si>
  <si>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</si>
  <si>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</si>
  <si>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</si>
  <si>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</si>
  <si>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</si>
  <si>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</si>
  <si>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</si>
  <si>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</si>
  <si>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</si>
  <si>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</si>
  <si>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</si>
  <si>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</si>
  <si>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</si>
  <si>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</si>
  <si>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</si>
  <si>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</si>
  <si>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</si>
  <si>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</si>
  <si>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</si>
  <si>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</si>
  <si>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</si>
  <si>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</si>
  <si>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</si>
  <si>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</si>
  <si>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</si>
  <si>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</si>
  <si>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</si>
  <si>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</si>
  <si>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</si>
  <si>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</si>
  <si>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</si>
  <si>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</si>
  <si>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</si>
  <si>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</si>
  <si>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</si>
  <si>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</si>
  <si>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</si>
  <si>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</si>
  <si>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</si>
  <si>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</si>
  <si>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</si>
  <si>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</si>
  <si>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</si>
  <si>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</si>
  <si>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</si>
  <si>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</si>
  <si>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</si>
  <si>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</si>
  <si>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</si>
  <si>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</si>
  <si>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</si>
  <si>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</si>
  <si>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</si>
  <si>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</si>
  <si>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</si>
  <si>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</si>
  <si>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</si>
  <si>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</si>
  <si>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</si>
  <si>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</si>
  <si>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</si>
  <si>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</si>
  <si>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</si>
  <si>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</si>
  <si>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</si>
  <si>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</si>
  <si>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</si>
  <si>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</si>
  <si>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</si>
  <si>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</si>
  <si>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</si>
  <si>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</si>
  <si>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</si>
  <si>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</si>
  <si>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</si>
  <si>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</si>
  <si>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</si>
  <si>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</si>
  <si>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</si>
  <si>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</si>
  <si>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</si>
  <si>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</si>
  <si>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</si>
  <si>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</si>
  <si>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</si>
  <si>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</si>
  <si>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</si>
  <si>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</si>
  <si>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</si>
  <si>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</si>
  <si>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</si>
  <si>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</si>
  <si>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</si>
  <si>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</si>
  <si>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</si>
  <si>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</si>
  <si>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</si>
  <si>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</si>
  <si>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</si>
  <si>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</si>
  <si>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</si>
  <si>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</si>
  <si>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</si>
  <si>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</si>
  <si>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</si>
  <si>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</si>
  <si>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</si>
  <si>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</si>
  <si>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</si>
  <si>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</si>
  <si>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</si>
  <si>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</si>
  <si>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</si>
  <si>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</si>
  <si>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</si>
  <si>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</si>
  <si>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</si>
  <si>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</si>
  <si>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</si>
  <si>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</si>
  <si>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</si>
  <si>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</si>
  <si>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</si>
  <si>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</si>
  <si>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</si>
  <si>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</si>
  <si>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</si>
  <si>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</si>
  <si>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</si>
  <si>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</si>
  <si>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</si>
  <si>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</si>
  <si>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</si>
  <si>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</si>
  <si>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</si>
  <si>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</si>
  <si>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</si>
  <si>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</si>
  <si>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</si>
  <si>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</si>
  <si>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</si>
  <si>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</si>
  <si>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</si>
  <si>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</si>
  <si>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</si>
  <si>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</si>
  <si>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</si>
  <si>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</si>
  <si>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</si>
  <si>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</si>
  <si>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</si>
  <si>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</si>
  <si>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</si>
  <si>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</si>
  <si>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</si>
  <si>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</si>
  <si>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</si>
  <si>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</si>
  <si>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</si>
  <si>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</si>
  <si>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</si>
  <si>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</si>
  <si>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</si>
  <si>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</si>
  <si>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</si>
  <si>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</si>
  <si>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</si>
  <si>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</si>
  <si>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</si>
  <si>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</si>
  <si>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</si>
  <si>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</si>
  <si>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</si>
  <si>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</si>
  <si>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</si>
  <si>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</si>
  <si>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</si>
  <si>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</si>
  <si>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</si>
  <si>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</si>
  <si>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</si>
  <si>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</si>
  <si>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</si>
  <si>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</si>
  <si>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</si>
  <si>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</si>
  <si>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</si>
  <si>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</si>
  <si>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</si>
  <si>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</si>
  <si>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</si>
  <si>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</si>
  <si>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</si>
  <si>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</si>
  <si>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</si>
  <si>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</si>
  <si>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</si>
  <si>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</si>
  <si>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</si>
  <si>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</si>
  <si>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</si>
  <si>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</si>
  <si>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</si>
  <si>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</si>
  <si>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</si>
  <si>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</si>
  <si>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</si>
  <si>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</si>
  <si>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</si>
  <si>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</si>
  <si>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</si>
  <si>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</si>
  <si>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</si>
  <si>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</si>
  <si>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</si>
  <si>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</si>
  <si>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</si>
  <si>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</si>
  <si>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</si>
  <si>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</si>
  <si>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</si>
  <si>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</si>
  <si>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</si>
  <si>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</si>
  <si>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</si>
  <si>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</si>
  <si>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</si>
  <si>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</si>
  <si>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</si>
  <si>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</si>
  <si>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</si>
  <si>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</si>
  <si>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</si>
  <si>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</si>
  <si>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</si>
  <si>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</si>
  <si>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</si>
  <si>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</si>
  <si>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</si>
  <si>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</si>
  <si>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</si>
  <si>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</si>
  <si>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</si>
  <si>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</si>
  <si>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</si>
  <si>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</si>
  <si>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</si>
  <si>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</si>
  <si>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</si>
  <si>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</si>
  <si>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</si>
  <si>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</si>
  <si>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</si>
  <si>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</si>
  <si>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</si>
  <si>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</si>
  <si>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</si>
  <si>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</si>
  <si>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</si>
  <si>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</si>
  <si>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</si>
  <si>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</si>
  <si>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</si>
  <si>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</si>
  <si>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</si>
  <si>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</si>
  <si>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</si>
  <si>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</si>
  <si>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</si>
  <si>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</si>
  <si>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</si>
  <si>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</si>
  <si>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</si>
  <si>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</si>
  <si>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</si>
  <si>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</si>
  <si>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</si>
  <si>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</si>
  <si>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</si>
  <si>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</si>
  <si>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</si>
  <si>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</si>
  <si>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</si>
  <si>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</si>
  <si>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</si>
  <si>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</si>
  <si>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</si>
  <si>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</si>
  <si>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</si>
  <si>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</si>
  <si>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</si>
  <si>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</si>
  <si>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</si>
  <si>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</si>
  <si>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</si>
  <si>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</si>
  <si>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</si>
  <si>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</si>
  <si>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</si>
  <si>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</si>
  <si>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</si>
  <si>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</si>
  <si>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</si>
  <si>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</si>
  <si>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3011111111111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</si>
  <si>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</si>
  <si>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</si>
  <si>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</si>
  <si>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</si>
  <si>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</si>
  <si>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</si>
  <si>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</si>
  <si>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</si>
  <si>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</si>
  <si>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</si>
  <si>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</si>
  <si>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</si>
  <si>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</si>
  <si>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</si>
  <si>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</si>
  <si>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</si>
  <si>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</si>
  <si>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</si>
  <si>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</si>
  <si>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</si>
  <si>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</si>
  <si>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</si>
  <si>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</si>
  <si>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</si>
  <si>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</si>
  <si>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</si>
  <si>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</si>
  <si>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</si>
  <si>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</si>
  <si>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</si>
  <si>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</si>
  <si>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</si>
  <si>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</si>
  <si>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</si>
  <si>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</si>
  <si>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</si>
  <si>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</si>
  <si>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</si>
  <si>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</si>
  <si>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</si>
  <si>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</si>
  <si>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</si>
  <si>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</si>
  <si>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</si>
  <si>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</si>
  <si>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</si>
  <si>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</si>
  <si>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</si>
  <si>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</si>
  <si>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</si>
  <si>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</si>
  <si>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</si>
  <si>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</si>
  <si>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</si>
  <si>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</si>
  <si>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</si>
  <si>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</si>
  <si>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</si>
  <si>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</si>
  <si>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</si>
  <si>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</si>
  <si>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</si>
  <si>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</si>
  <si>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</si>
  <si>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</si>
  <si>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</si>
  <si>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</si>
  <si>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</si>
  <si>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</si>
  <si>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</si>
  <si>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</si>
  <si>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</si>
  <si>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</si>
  <si>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</si>
  <si>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</si>
  <si>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</si>
  <si>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</si>
  <si>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</si>
  <si>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</si>
  <si>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</si>
  <si>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</si>
  <si>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</si>
  <si>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</si>
  <si>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</si>
  <si>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</si>
  <si>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</si>
  <si>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</si>
  <si>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</si>
  <si>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</si>
  <si>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</si>
  <si>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</si>
  <si>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</si>
  <si>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</si>
  <si>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</si>
  <si>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</si>
  <si>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</si>
  <si>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</si>
  <si>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</si>
  <si>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</si>
  <si>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</si>
  <si>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</si>
  <si>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</si>
  <si>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</si>
  <si>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</si>
  <si>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</si>
  <si>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</si>
  <si>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</si>
  <si>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</si>
  <si>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</si>
  <si>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</si>
  <si>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</si>
  <si>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</si>
  <si>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</si>
  <si>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</si>
  <si>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</si>
  <si>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</si>
  <si>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</si>
  <si>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</si>
  <si>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</si>
  <si>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</si>
  <si>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</si>
  <si>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</si>
  <si>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</si>
  <si>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</si>
  <si>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</si>
  <si>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</si>
  <si>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</si>
  <si>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</si>
  <si>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</si>
  <si>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</si>
  <si>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</si>
  <si>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</si>
  <si>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</si>
  <si>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</si>
  <si>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</si>
  <si>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</si>
  <si>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</si>
  <si>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</si>
  <si>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</si>
  <si>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</si>
  <si>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</si>
  <si>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</si>
  <si>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</si>
  <si>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</si>
  <si>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</si>
  <si>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</si>
  <si>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</si>
  <si>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</si>
  <si>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</si>
  <si>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</si>
  <si>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</si>
  <si>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</si>
  <si>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</si>
  <si>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</si>
  <si>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</si>
  <si>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</si>
  <si>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</si>
  <si>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</si>
  <si>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</si>
  <si>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</si>
  <si>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</si>
  <si>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</si>
  <si>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</si>
  <si>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</si>
  <si>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</si>
  <si>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</si>
  <si>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</si>
  <si>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</si>
  <si>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</si>
  <si>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</si>
  <si>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</si>
  <si>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</si>
  <si>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</si>
  <si>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</si>
  <si>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</si>
  <si>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</si>
  <si>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</si>
  <si>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</si>
  <si>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</si>
  <si>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</si>
  <si>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</si>
  <si>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</si>
  <si>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</si>
  <si>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</si>
  <si>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</si>
  <si>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</si>
  <si>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</si>
  <si>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</si>
  <si>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</si>
  <si>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</si>
  <si>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</si>
  <si>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</si>
  <si>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</si>
  <si>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</si>
  <si>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Внесены изменения в расчет тарифов на 2026 г. на основании прогноза социально-экономического развития Российской Федерации на 2026 год и плановый период 2027 и 2028 годов (от 26.09.2025).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</si>
  <si>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</si>
  <si>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</si>
  <si>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</si>
  <si>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В листе "Предложение" п.6  Размер экономически обоснованных расходов, не учтенных при установлении регулируемых цен (тарифов) в предыдущий период регулирования в отношении Тарифа на теплоноситель, поставляемый потребителям Владивостокского городского округа на 2025 год указан - 0, так как расходы составили отрицательное значение (-) 21 470,75 тыс.руб. и не были учтенных при расчете тарифа.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</si>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</sst>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1" formatCode="_-* #,##0.00\ _₽_-;\-* #,##0.00\ _₽_-;_-* &quot;-&quot;??\ _₽_-;_-@_-"/>
    <numFmt numFmtId="172" formatCode="_-* #,##0\ _₽_-;\-* #,##0\ _₽_-;_-* &quot;-&quot;\ _₽_-;_-@_-"/>
    <numFmt numFmtId="173" formatCode="_-* #,##0.00\ &quot;₽&quot;_-;\-* #,##0.00\ &quot;₽&quot;_-;_-* &quot;-&quot;??\ &quot;₽&quot;_-;_-@_-"/>
    <numFmt numFmtId="174" formatCode="_-* #,##0\ &quot;₽&quot;_-;\-* #,##0\ &quot;₽&quot;_-;_-* &quot;-&quot;\ &quot;₽&quot;_-;_-@_-"/>
    <numFmt numFmtId="175" formatCode="_-* #,##0.00[$€-1]_-;\-* #,##0.00[$€-1]_-;_-* &quot;-&quot;??[$€-1]_-"/>
    <numFmt numFmtId="176" formatCode="#,##0.0"/>
    <numFmt numFmtId="177" formatCode="#,##0.000"/>
    <numFmt numFmtId="178" formatCode="#,##0.0000"/>
    <numFmt numFmtId="179" formatCode="dd\.mm\.yyyy"/>
    <numFmt numFmtId="180" formatCode="000000"/>
    <numFmt numFmtId="181"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71" fontId="6" fillId="0" borderId="0" applyFont="0" applyFill="0" applyBorder="0" applyNumberFormat="1">
      <alignment vertical="top"/>
    </xf>
    <xf numFmtId="172" fontId="6" fillId="0" borderId="0" applyFont="0" applyFill="0" applyBorder="0" applyNumberFormat="1">
      <alignment vertical="top"/>
    </xf>
    <xf numFmtId="173" fontId="6" fillId="0" borderId="0" applyFont="0" applyFill="0" applyBorder="0" applyNumberFormat="1">
      <alignment vertical="top"/>
    </xf>
    <xf numFmtId="17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5" fontId="20" fillId="0" borderId="0" applyFont="1" applyFill="0" applyBorder="0" applyNumberFormat="1"/>
    <xf numFmtId="38" fontId="21" fillId="0" borderId="0" applyFont="1" applyFill="0" applyBorder="0" applyNumberFormat="1">
      <alignment vertical="top"/>
    </xf>
    <xf numFmtId="176" fontId="22" fillId="33" borderId="0" applyFont="1" applyFill="1" applyBorder="0" applyNumberFormat="1">
      <protection locked="0"/>
    </xf>
    <xf numFmtId="0" fontId="23" fillId="0" borderId="0" applyFont="1" applyFill="0" applyBorder="0">
      <alignment vertical="center"/>
    </xf>
    <xf numFmtId="177" fontId="22" fillId="33" borderId="0" applyFont="1" applyFill="1" applyBorder="0" applyNumberFormat="1">
      <protection locked="0"/>
    </xf>
    <xf numFmtId="178"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63229">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6" fillId="0" borderId="0" xfId="28" applyFont="0" applyNumberFormat="1">
      <alignment vertical="top"/>
    </xf>
    <xf numFmtId="172" fontId="6" fillId="0" borderId="0" xfId="29" applyFont="0" applyNumberFormat="1">
      <alignment vertical="top"/>
    </xf>
    <xf numFmtId="173" fontId="6" fillId="0" borderId="0" xfId="30" applyFont="0" applyNumberFormat="1">
      <alignment vertical="top"/>
    </xf>
    <xf numFmtId="174"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5" fontId="20" fillId="0" borderId="0" xfId="49" applyFont="1" applyNumberFormat="1"/>
    <xf numFmtId="38" fontId="21" fillId="0" borderId="0" xfId="50" applyFont="1" applyNumberFormat="1">
      <alignment vertical="top"/>
    </xf>
    <xf numFmtId="176" fontId="22" fillId="33" borderId="0" xfId="51" applyFont="1" applyFill="1" applyNumberFormat="1">
      <protection locked="0"/>
    </xf>
    <xf numFmtId="0" fontId="23" fillId="0" borderId="0" xfId="52" applyFont="1">
      <alignment vertical="center"/>
    </xf>
    <xf numFmtId="177" fontId="22" fillId="33" borderId="0" xfId="53" applyFont="1" applyFill="1" applyNumberFormat="1">
      <protection locked="0"/>
    </xf>
    <xf numFmtId="178"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0" applyFont="1" applyNumberFormat="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180"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7"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78"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178"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178"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80"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78"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78" fontId="22" fillId="39" borderId="13" xfId="0" applyFont="1" applyFill="1" applyBorder="1" applyNumberFormat="1">
      <alignment horizontal="right" vertical="center" wrapText="1"/>
      <protection locked="0"/>
    </xf>
    <xf numFmtId="178"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77"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77"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7"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177"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80"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80"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180"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79" fontId="0" fillId="39" borderId="12" xfId="0" applyFont="1" applyFill="1" applyBorder="1" applyNumberFormat="1">
      <alignment horizontal="left" vertical="center" wrapText="1" indent="1"/>
      <protection locked="0"/>
    </xf>
    <xf numFmtId="179" fontId="0" fillId="0" borderId="12" xfId="0" applyFont="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179" fontId="48" fillId="0" borderId="0" xfId="0" applyFont="1" applyNumberFormat="1">
      <alignment horizontal="center" vertical="center" wrapText="1"/>
    </xf>
    <xf numFmtId="179" fontId="48" fillId="0" borderId="12" xfId="0" applyFont="1" applyBorder="1" applyNumberFormat="1">
      <alignment horizontal="center" vertical="center" wrapText="1"/>
    </xf>
    <xf numFmtId="179" fontId="0" fillId="39" borderId="12" xfId="0" applyFont="1" applyFill="1" applyBorder="1" applyNumberFormat="1">
      <alignment horizontal="left" vertical="center" wrapText="1"/>
      <protection locked="0"/>
    </xf>
    <xf numFmtId="179" fontId="0" fillId="36" borderId="12" xfId="0" applyFont="1" applyFill="1" applyBorder="1" applyNumberFormat="1">
      <alignment horizontal="left" vertical="center" wrapText="1" indent="1"/>
      <protection locked="0"/>
    </xf>
    <xf numFmtId="179"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79" fontId="0" fillId="39" borderId="14" xfId="0" applyFont="1" applyFill="1" applyBorder="1" applyNumberFormat="1">
      <alignment horizontal="left" vertical="center" wrapText="1"/>
      <protection locked="0"/>
    </xf>
    <xf numFmtId="179"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180"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180"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181" fontId="22" fillId="39" borderId="12" xfId="0" applyFont="1" applyFill="1" applyBorder="1" applyNumberFormat="1">
      <alignment horizontal="left" vertical="center" wrapText="1" indent="1"/>
      <protection locked="0"/>
    </xf>
    <xf numFmtId="179"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79"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79" fontId="22" fillId="34" borderId="12" xfId="0" applyFont="1" applyFill="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179"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80" fontId="22" fillId="0" borderId="17"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180"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79"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79"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39" borderId="12" xfId="0" applyFont="1" applyFill="1" applyBorder="1" applyNumberFormat="1">
      <alignment horizontal="left" vertical="center"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9" borderId="12" xfId="0" applyFont="1" applyFill="1" applyBorder="1" applyNumberFormat="1">
      <alignment horizontal="left" vertical="center"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22" fillId="0" borderId="0" xfId="0" applyFont="1">
      <alignment horizontal="left" vertical="center" inden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179"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17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177"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lignment horizontal="center" vertical="center"/>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22"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0" fillId="0" borderId="0" xfId="0" applyFont="1" applyNumberFormat="1">
      <alignment vertical="top"/>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49" fontId="0" fillId="0" borderId="0" xfId="0" applyFont="1" applyNumberFormat="1">
      <alignment vertical="top"/>
    </xf>
    <xf numFmtId="0" fontId="22" fillId="36" borderId="12" xfId="0" applyFont="1" applyFill="1" applyBorder="1">
      <alignment horizontal="left" vertical="center" wrapText="1" indent="7"/>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lignment horizontal="left" vertical="top" wrapText="1"/>
    </xf>
    <xf numFmtId="4" fontId="0" fillId="39" borderId="12" xfId="0" applyFont="1" applyFill="1" applyBorder="1" applyNumberFormat="1">
      <alignment horizontal="right" vertical="center" wrapText="1"/>
      <protection locked="0"/>
    </xf>
    <xf numFmtId="179"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22" fillId="39" borderId="12" xfId="0" applyFont="1" applyFill="1" applyBorder="1">
      <alignment horizontal="left" vertical="center" wrapText="1"/>
      <protection locked="0"/>
    </xf>
    <xf numFmtId="0" fontId="53" fillId="39" borderId="12" xfId="0" applyFont="1" applyFill="1" applyBorder="1">
      <alignment horizontal="left" vertical="center" wrapText="1"/>
      <protection locked="0"/>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179" fontId="0" fillId="39" borderId="12" xfId="0" applyFont="1" applyFill="1" applyBorder="1" applyNumberFormat="1">
      <alignment horizontal="left" vertical="center" wrapText="1" indent="1"/>
      <protection locked="0"/>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22" fillId="0" borderId="0" xfId="0" applyFont="1">
      <alignment horizontal="left" vertical="center" inden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179"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17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177"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lignment horizontal="center" vertical="center"/>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22"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0" fillId="0" borderId="0" xfId="0" applyFont="1" applyNumberFormat="1">
      <alignment vertical="top"/>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49" fontId="0" fillId="0" borderId="0" xfId="0" applyFont="1" applyNumberFormat="1">
      <alignment vertical="top"/>
    </xf>
    <xf numFmtId="0" fontId="22" fillId="36" borderId="12" xfId="0" applyFont="1" applyFill="1" applyBorder="1">
      <alignment horizontal="left" vertical="center" wrapText="1" indent="7"/>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lignment horizontal="left" vertical="top" wrapText="1"/>
    </xf>
    <xf numFmtId="4" fontId="0" fillId="39" borderId="12" xfId="0" applyFont="1" applyFill="1" applyBorder="1" applyNumberFormat="1">
      <alignment horizontal="right" vertical="center" wrapText="1"/>
      <protection locked="0"/>
    </xf>
    <xf numFmtId="179"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22" fillId="39" borderId="12" xfId="0" applyFont="1" applyFill="1" applyBorder="1">
      <alignment horizontal="left" vertical="center" wrapText="1"/>
      <protection locked="0"/>
    </xf>
    <xf numFmtId="0" fontId="53" fillId="39" borderId="12" xfId="0" applyFont="1" applyFill="1" applyBorder="1">
      <alignment horizontal="left" vertical="center" wrapText="1"/>
      <protection locked="0"/>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179" fontId="0" fillId="39" borderId="12" xfId="0" applyFont="1" applyFill="1" applyBorder="1" applyNumberFormat="1">
      <alignment horizontal="left" vertical="center" wrapText="1" indent="1"/>
      <protection locked="0"/>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22" fillId="0" borderId="0" xfId="0" applyFont="1">
      <alignment horizontal="left" vertical="center" inden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179"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17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0" fillId="0" borderId="0" xfId="0" applyFont="1">
      <alignment horizontal="left" vertical="top" wrapText="1"/>
    </xf>
    <xf numFmtId="49" fontId="0" fillId="0" borderId="0" xfId="0" applyFont="1" applyNumberFormat="1">
      <alignment vertical="top"/>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177"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lignment horizontal="center" vertical="center"/>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22"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0" fillId="0" borderId="0" xfId="0" applyFont="1" applyNumberFormat="1">
      <alignment vertical="top"/>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49" fontId="0" fillId="0" borderId="0" xfId="0" applyFont="1" applyNumberFormat="1">
      <alignment vertical="top"/>
    </xf>
    <xf numFmtId="0" fontId="22" fillId="36" borderId="12" xfId="0" applyFont="1" applyFill="1" applyBorder="1">
      <alignment horizontal="left" vertical="center" wrapText="1" indent="7"/>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lignment horizontal="left" vertical="top" wrapText="1"/>
    </xf>
    <xf numFmtId="4" fontId="0" fillId="39" borderId="12" xfId="0" applyFont="1" applyFill="1" applyBorder="1" applyNumberFormat="1">
      <alignment horizontal="right" vertical="center" wrapText="1"/>
      <protection locked="0"/>
    </xf>
    <xf numFmtId="179"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22" fillId="39" borderId="12" xfId="0" applyFont="1" applyFill="1" applyBorder="1">
      <alignment horizontal="left" vertical="center" wrapText="1"/>
      <protection locked="0"/>
    </xf>
    <xf numFmtId="0" fontId="53" fillId="39" borderId="12" xfId="0" applyFont="1" applyFill="1" applyBorder="1">
      <alignment horizontal="left" vertical="center" wrapText="1"/>
      <protection locked="0"/>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179" fontId="0" fillId="39" borderId="12" xfId="0" applyFont="1" applyFill="1" applyBorder="1" applyNumberFormat="1">
      <alignment horizontal="left" vertical="center" wrapText="1" indent="1"/>
      <protection locked="0"/>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22" fillId="0" borderId="0" xfId="0" applyFont="1">
      <alignment horizontal="left" vertical="center" inden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179"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17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0" fillId="0" borderId="0" xfId="0" applyFont="1">
      <alignment horizontal="left" vertical="top" wrapText="1"/>
    </xf>
    <xf numFmtId="49" fontId="0" fillId="0" borderId="0" xfId="0" applyFont="1" applyNumberFormat="1">
      <alignment vertical="top"/>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177"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lignment horizontal="center" vertical="center"/>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22"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0" fillId="0" borderId="0" xfId="0" applyFont="1" applyNumberFormat="1">
      <alignment vertical="top"/>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49" fontId="0" fillId="0" borderId="0" xfId="0" applyFont="1" applyNumberFormat="1">
      <alignment vertical="top"/>
    </xf>
    <xf numFmtId="0" fontId="22" fillId="36" borderId="12" xfId="0" applyFont="1" applyFill="1" applyBorder="1">
      <alignment horizontal="left" vertical="center" wrapText="1" indent="7"/>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lignment horizontal="left" vertical="top" wrapText="1"/>
    </xf>
    <xf numFmtId="4" fontId="0" fillId="39" borderId="12" xfId="0" applyFont="1" applyFill="1" applyBorder="1" applyNumberFormat="1">
      <alignment horizontal="right" vertical="center" wrapText="1"/>
      <protection locked="0"/>
    </xf>
    <xf numFmtId="179"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22" fillId="39" borderId="12" xfId="0" applyFont="1" applyFill="1" applyBorder="1">
      <alignment horizontal="left" vertical="center" wrapText="1"/>
      <protection locked="0"/>
    </xf>
    <xf numFmtId="0" fontId="53" fillId="39" borderId="12" xfId="0" applyFont="1" applyFill="1" applyBorder="1">
      <alignment horizontal="left" vertical="center" wrapText="1"/>
      <protection locked="0"/>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179" fontId="0" fillId="39" borderId="12" xfId="0" applyFont="1" applyFill="1" applyBorder="1" applyNumberFormat="1">
      <alignment horizontal="left" vertical="center" wrapText="1" indent="1"/>
      <protection locked="0"/>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39" borderId="12" xfId="0" applyFont="1" applyFill="1" applyBorder="1">
      <alignment horizontal="left" vertical="top"/>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lignment vertical="center"/>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22" fillId="0" borderId="0" xfId="0" applyFont="1">
      <alignment horizontal="left" vertical="center" inden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179" fontId="0" fillId="39" borderId="17" xfId="0" applyFont="1" applyFill="1" applyBorder="1" applyNumberFormat="1">
      <alignment horizontal="center" vertical="center" wrapText="1"/>
      <protection locked="0"/>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179"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17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0" fillId="0" borderId="0" xfId="0" applyFont="1">
      <alignment horizontal="left" vertical="top" wrapText="1"/>
    </xf>
    <xf numFmtId="49" fontId="0" fillId="0" borderId="0" xfId="0" applyFont="1" applyNumberFormat="1">
      <alignment vertical="top"/>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177"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lignment horizontal="center" vertical="center"/>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22"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0" fillId="0" borderId="0" xfId="0" applyFont="1" applyNumberFormat="1">
      <alignment vertical="top"/>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49" fontId="0" fillId="0" borderId="0" xfId="0" applyFont="1" applyNumberFormat="1">
      <alignment vertical="top"/>
    </xf>
    <xf numFmtId="0" fontId="22" fillId="36" borderId="12" xfId="0" applyFont="1" applyFill="1" applyBorder="1">
      <alignment horizontal="left" vertical="center" wrapText="1" indent="7"/>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0" fillId="0" borderId="13" xfId="0" applyFont="1" applyBorder="1">
      <alignment horizontal="center"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179"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22" fillId="39" borderId="12" xfId="0" applyFont="1" applyFill="1" applyBorder="1">
      <alignment horizontal="left" vertical="center" wrapText="1"/>
      <protection locked="0"/>
    </xf>
    <xf numFmtId="0" fontId="53" fillId="39" borderId="12" xfId="0" applyFont="1" applyFill="1" applyBorder="1">
      <alignment horizontal="left" vertical="center" wrapText="1"/>
      <protection locked="0"/>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179" fontId="0" fillId="39" borderId="12" xfId="0" applyFont="1" applyFill="1" applyBorder="1" applyNumberFormat="1">
      <alignment horizontal="left" vertical="center" wrapText="1" indent="1"/>
      <protection locked="0"/>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179" fontId="0" fillId="39" borderId="12" xfId="0" applyFont="1" applyFill="1" applyBorder="1" applyNumberFormat="1">
      <alignment horizontal="left" vertical="center" wrapText="1" indent="1"/>
      <protection locked="0"/>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39" borderId="12" xfId="0" applyFont="1" applyFill="1" applyBorder="1">
      <alignment horizontal="left" vertical="top"/>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lignment vertical="center"/>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22" fillId="0" borderId="0" xfId="0" applyFont="1">
      <alignment horizontal="left" vertical="center" inden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179" fontId="0" fillId="39" borderId="17" xfId="0" applyFont="1" applyFill="1" applyBorder="1" applyNumberFormat="1">
      <alignment horizontal="center" vertical="center" wrapText="1"/>
      <protection locked="0"/>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179"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17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0" fillId="0" borderId="0" xfId="0" applyFon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177"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lignment horizontal="center" vertical="center"/>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22"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0" fillId="0" borderId="0" xfId="0" applyFont="1" applyNumberFormat="1">
      <alignment vertical="top"/>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49" fontId="0" fillId="0" borderId="0" xfId="0" applyFont="1" applyNumberFormat="1">
      <alignment vertical="top"/>
    </xf>
    <xf numFmtId="0" fontId="22" fillId="36" borderId="12" xfId="0" applyFont="1" applyFill="1" applyBorder="1">
      <alignment horizontal="left" vertical="center" wrapText="1" indent="7"/>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0" fillId="0" borderId="13" xfId="0" applyFont="1" applyBorder="1">
      <alignment horizontal="center"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179"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22" fillId="39" borderId="12" xfId="0" applyFont="1" applyFill="1" applyBorder="1">
      <alignment horizontal="left" vertical="center" wrapText="1"/>
      <protection locked="0"/>
    </xf>
    <xf numFmtId="0" fontId="53" fillId="39" borderId="12" xfId="0" applyFont="1" applyFill="1" applyBorder="1">
      <alignment horizontal="left" vertical="center" wrapText="1"/>
      <protection locked="0"/>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179" fontId="0" fillId="39" borderId="12" xfId="0" applyFont="1" applyFill="1" applyBorder="1" applyNumberFormat="1">
      <alignment horizontal="left" vertical="center" wrapText="1" indent="1"/>
      <protection locked="0"/>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179" fontId="0" fillId="39" borderId="12" xfId="0" applyFont="1" applyFill="1" applyBorder="1" applyNumberFormat="1">
      <alignment horizontal="left" vertical="center" wrapText="1" indent="1"/>
      <protection locked="0"/>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39" borderId="12" xfId="0" applyFont="1" applyFill="1" applyBorder="1">
      <alignment horizontal="left" vertical="top"/>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lignment vertical="center"/>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22" fillId="0" borderId="0" xfId="0" applyFont="1">
      <alignment horizontal="left" vertical="center" inden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49" fontId="0" fillId="0" borderId="0" xfId="0" applyFont="1" applyNumberFormat="1">
      <alignment vertical="top"/>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179" fontId="0" fillId="39" borderId="17" xfId="0" applyFont="1" applyFill="1" applyBorder="1" applyNumberFormat="1">
      <alignment horizontal="center" vertical="center" wrapText="1"/>
      <protection locked="0"/>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179"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17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0" fillId="0" borderId="0" xfId="0" applyFon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177"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lignment horizontal="center" vertical="center"/>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22"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0" fillId="0" borderId="0" xfId="0" applyFont="1" applyNumberFormat="1">
      <alignment vertical="top"/>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49" fontId="0" fillId="0" borderId="0" xfId="0" applyFont="1" applyNumberFormat="1">
      <alignment vertical="top"/>
    </xf>
    <xf numFmtId="0" fontId="22" fillId="36" borderId="12" xfId="0" applyFont="1" applyFill="1" applyBorder="1">
      <alignment horizontal="left" vertical="center" wrapText="1" indent="7"/>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0" fillId="0" borderId="13" xfId="0" applyFont="1" applyBorder="1">
      <alignment horizontal="center" vertical="center" wrapText="1"/>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179"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22" fillId="39" borderId="12" xfId="0" applyFont="1" applyFill="1" applyBorder="1">
      <alignment horizontal="left" vertical="center" wrapText="1"/>
      <protection locked="0"/>
    </xf>
    <xf numFmtId="0" fontId="53" fillId="39" borderId="12" xfId="0" applyFont="1" applyFill="1" applyBorder="1">
      <alignment horizontal="left" vertical="center" wrapText="1"/>
      <protection locked="0"/>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179" fontId="0" fillId="39" borderId="12" xfId="0" applyFont="1" applyFill="1" applyBorder="1" applyNumberFormat="1">
      <alignment horizontal="left" vertical="center" wrapText="1" indent="1"/>
      <protection locked="0"/>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179" fontId="0" fillId="39" borderId="12" xfId="0" applyFont="1" applyFill="1" applyBorder="1" applyNumberFormat="1">
      <alignment horizontal="left" vertical="center" wrapText="1" indent="1"/>
      <protection locked="0"/>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39" borderId="12" xfId="0" applyFont="1" applyFill="1" applyBorder="1">
      <alignment horizontal="left" vertical="top"/>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lignment vertical="center"/>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22" fillId="0" borderId="0" xfId="0" applyFont="1">
      <alignment horizontal="left" vertical="center" inden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49" fontId="0" fillId="0" borderId="0" xfId="0" applyFont="1" applyNumberFormat="1">
      <alignment vertical="top"/>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179" fontId="0" fillId="39" borderId="17" xfId="0" applyFont="1" applyFill="1" applyBorder="1" applyNumberFormat="1">
      <alignment horizontal="center" vertical="center" wrapText="1"/>
      <protection locked="0"/>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179"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17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0" fillId="0" borderId="0" xfId="0" applyFon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177"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lignment horizontal="center" vertical="center"/>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22"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0" fillId="0" borderId="0" xfId="0" applyFont="1" applyNumberFormat="1">
      <alignment vertical="top"/>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49" fontId="0" fillId="0" borderId="0" xfId="0" applyFont="1" applyNumberFormat="1">
      <alignment vertical="top"/>
    </xf>
    <xf numFmtId="0" fontId="22" fillId="36" borderId="12" xfId="0" applyFont="1" applyFill="1" applyBorder="1">
      <alignment horizontal="left" vertical="center" wrapText="1" indent="7"/>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0" fillId="0" borderId="13" xfId="0" applyFont="1" applyBorder="1">
      <alignment horizontal="center" vertical="center" wrapText="1"/>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179"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22" fillId="39" borderId="12" xfId="0" applyFont="1" applyFill="1" applyBorder="1">
      <alignment horizontal="left" vertical="center" wrapText="1"/>
      <protection locked="0"/>
    </xf>
    <xf numFmtId="0" fontId="53" fillId="39" borderId="12" xfId="0" applyFont="1" applyFill="1" applyBorder="1">
      <alignment horizontal="left" vertical="center" wrapText="1"/>
      <protection locked="0"/>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179" fontId="0" fillId="39" borderId="12" xfId="0" applyFont="1" applyFill="1" applyBorder="1" applyNumberFormat="1">
      <alignment horizontal="left" vertical="center" wrapText="1" indent="1"/>
      <protection locked="0"/>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179" fontId="0" fillId="39" borderId="12" xfId="0" applyFont="1" applyFill="1" applyBorder="1" applyNumberFormat="1">
      <alignment horizontal="left" vertical="center" wrapText="1" indent="1"/>
      <protection locked="0"/>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39" borderId="12" xfId="0" applyFont="1" applyFill="1" applyBorder="1">
      <alignment horizontal="left" vertical="top"/>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lignment vertical="center"/>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22" fillId="0" borderId="0" xfId="0" applyFont="1">
      <alignment horizontal="left" vertical="center" inden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49" fontId="0" fillId="0" borderId="0" xfId="0" applyFont="1" applyNumberFormat="1">
      <alignment vertical="top"/>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179" fontId="0" fillId="39" borderId="17" xfId="0" applyFont="1" applyFill="1" applyBorder="1" applyNumberFormat="1">
      <alignment horizontal="center" vertical="center" wrapText="1"/>
      <protection locked="0"/>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179"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17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0" fillId="0" borderId="0" xfId="0" applyFon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177"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lignment horizontal="center" vertical="center"/>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22"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0" fillId="0" borderId="0" xfId="0" applyFont="1" applyNumberFormat="1">
      <alignment vertical="top"/>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49" fontId="0" fillId="0" borderId="0" xfId="0" applyFont="1" applyNumberFormat="1">
      <alignment vertical="top"/>
    </xf>
    <xf numFmtId="0" fontId="22" fillId="36" borderId="12" xfId="0" applyFont="1" applyFill="1" applyBorder="1">
      <alignment horizontal="left" vertical="center" wrapText="1" indent="7"/>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0" fillId="0" borderId="13" xfId="0" applyFont="1" applyBorder="1">
      <alignment horizontal="center" vertical="center" wrapText="1"/>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179"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22" fillId="39" borderId="12" xfId="0" applyFont="1" applyFill="1" applyBorder="1">
      <alignment horizontal="left" vertical="center" wrapText="1"/>
      <protection locked="0"/>
    </xf>
    <xf numFmtId="0" fontId="53" fillId="39" borderId="12" xfId="0" applyFont="1" applyFill="1" applyBorder="1">
      <alignment horizontal="left" vertical="center" wrapText="1"/>
      <protection locked="0"/>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179" fontId="0" fillId="39" borderId="12" xfId="0" applyFont="1" applyFill="1" applyBorder="1" applyNumberFormat="1">
      <alignment horizontal="left" vertical="center" wrapText="1" indent="1"/>
      <protection locked="0"/>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179" fontId="0" fillId="39" borderId="12" xfId="0" applyFont="1" applyFill="1" applyBorder="1" applyNumberFormat="1">
      <alignment horizontal="left" vertical="center" wrapText="1" indent="1"/>
      <protection locked="0"/>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39" borderId="12" xfId="0" applyFont="1" applyFill="1" applyBorder="1">
      <alignment horizontal="left" vertical="top"/>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lignment vertical="center"/>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22" fillId="0" borderId="0" xfId="0" applyFont="1">
      <alignment horizontal="left" vertical="center" inden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49" fontId="0" fillId="0" borderId="0" xfId="0" applyFont="1" applyNumberFormat="1">
      <alignment vertical="top"/>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179" fontId="0" fillId="39" borderId="17" xfId="0" applyFont="1" applyFill="1" applyBorder="1" applyNumberFormat="1">
      <alignment horizontal="center" vertical="center" wrapText="1"/>
      <protection locked="0"/>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179"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17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0" fillId="0" borderId="0" xfId="0" applyFon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177"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lignment horizontal="center" vertical="center"/>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22"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0" fillId="0" borderId="0" xfId="0" applyFont="1" applyNumberFormat="1">
      <alignment vertical="top"/>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49" fontId="0" fillId="0" borderId="0" xfId="0" applyFont="1" applyNumberFormat="1">
      <alignment vertical="top"/>
    </xf>
    <xf numFmtId="0" fontId="22" fillId="36" borderId="12" xfId="0" applyFont="1" applyFill="1" applyBorder="1">
      <alignment horizontal="left" vertical="center" wrapText="1" indent="7"/>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0" fillId="0" borderId="13" xfId="0" applyFont="1" applyBorder="1">
      <alignment horizontal="center" vertical="center" wrapText="1"/>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179"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22" fillId="39" borderId="12" xfId="0" applyFont="1" applyFill="1" applyBorder="1">
      <alignment horizontal="left" vertical="center" wrapText="1"/>
      <protection locked="0"/>
    </xf>
    <xf numFmtId="0" fontId="53" fillId="39" borderId="12" xfId="0" applyFont="1" applyFill="1" applyBorder="1">
      <alignment horizontal="left" vertical="center" wrapText="1"/>
      <protection locked="0"/>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17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179" fontId="0" fillId="39" borderId="12" xfId="0" applyFont="1" applyFill="1" applyBorder="1" applyNumberFormat="1">
      <alignment horizontal="left" vertical="center" wrapText="1" indent="1"/>
      <protection locked="0"/>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179" fontId="0" fillId="39" borderId="12" xfId="0" applyFont="1" applyFill="1" applyBorder="1" applyNumberFormat="1">
      <alignment horizontal="left" vertical="center" wrapText="1" indent="1"/>
      <protection locked="0"/>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39" borderId="12" xfId="0" applyFont="1" applyFill="1" applyBorder="1">
      <alignment horizontal="left" vertical="top"/>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lignment vertical="center"/>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22" fillId="0" borderId="0" xfId="0" applyFont="1">
      <alignment horizontal="left" vertical="center" inden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49" fontId="0" fillId="0" borderId="0" xfId="0" applyFont="1" applyNumberFormat="1">
      <alignment vertical="top"/>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179" fontId="0" fillId="39" borderId="17" xfId="0" applyFont="1" applyFill="1" applyBorder="1" applyNumberFormat="1">
      <alignment horizontal="center" vertical="center" wrapText="1"/>
      <protection locked="0"/>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179"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179"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0" fontId="47" fillId="0" borderId="0" xfId="0" applyFont="1">
      <alignment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0" fillId="0" borderId="0" xfId="0" applyFon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177"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lignment horizontal="center" vertical="center"/>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22"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8" fillId="0" borderId="0" xfId="0" applyFont="1">
      <alignment horizontal="center" vertical="center" wrapText="1"/>
    </xf>
    <xf numFmtId="0" fontId="48" fillId="0" borderId="24" xfId="0" applyFont="1" applyBorder="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0" fillId="0" borderId="0" xfId="0" applyFont="1" applyNumberFormat="1">
      <alignment vertical="top"/>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49" fontId="0" fillId="0" borderId="0" xfId="0" applyFont="1" applyNumberFormat="1">
      <alignment vertical="top"/>
    </xf>
    <xf numFmtId="0" fontId="22" fillId="36" borderId="12" xfId="0" applyFont="1" applyFill="1" applyBorder="1">
      <alignment horizontal="left" vertical="center" wrapText="1" indent="7"/>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lignment vertical="center" wrapText="1"/>
    </xf>
    <xf numFmtId="0" fontId="63" fillId="0" borderId="0" xfId="0" applyFont="1">
      <alignment vertical="center" wrapText="1"/>
    </xf>
    <xf numFmtId="0" fontId="63" fillId="0" borderId="0" xfId="0" applyFont="1">
      <alignment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0" fillId="0" borderId="13" xfId="0" applyFont="1" applyBorder="1">
      <alignment horizontal="center" vertical="center" wrapText="1"/>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0" fillId="0" borderId="13" xfId="0" applyFont="1" applyBorder="1">
      <alignment horizontal="center" vertical="center" wrapText="1"/>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0" fontId="22" fillId="40" borderId="12" xfId="0" applyFont="1" applyFill="1" applyBorder="1">
      <alignment horizontal="left"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179"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22" fillId="39" borderId="12" xfId="0" applyFont="1" applyFill="1" applyBorder="1">
      <alignment horizontal="left" vertical="center" wrapText="1"/>
      <protection locked="0"/>
    </xf>
    <xf numFmtId="0" fontId="53" fillId="39" borderId="12" xfId="0" applyFont="1" applyFill="1" applyBorder="1">
      <alignment horizontal="left" vertical="center" wrapText="1"/>
      <protection locked="0"/>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Drogovoz-AG@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hyperlink" Target="https://portal.eias.ru/Portal/DownloadPage.aspx?type=12&amp;guid=100b20d4-9994-4cfc-a907-74c0a4d622ac"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 Id="rId2" Type="http://schemas.openxmlformats.org/officeDocument/2006/relationships/hyperlink" Target="https://portal.eias.ru/Portal/DownloadPage.aspx?type=12&amp;guid=026c6f1b-2ad6-4985-a197-b2a3496ef3d1" TargetMode="External"/><Relationship Id="rId3" Type="http://schemas.openxmlformats.org/officeDocument/2006/relationships/hyperlink" Target="https://portal.eias.ru/Portal/DownloadPage.aspx?type=12&amp;guid=026c6f1b-2ad6-4985-a197-b2a3496ef3d1" TargetMode="External"/><Relationship Id="rId4" Type="http://schemas.openxmlformats.org/officeDocument/2006/relationships/hyperlink" Target="https://portal.eias.ru/Portal/DownloadPage.aspx?type=12&amp;guid=026c6f1b-2ad6-4985-a197-b2a3496ef3d1" TargetMode="External"/><Relationship Id="rId5" Type="http://schemas.openxmlformats.org/officeDocument/2006/relationships/hyperlink" Target="https://portal.eias.ru/Portal/DownloadPage.aspx?type=12&amp;guid=026c6f1b-2ad6-4985-a197-b2a3496ef3d1" TargetMode="Externa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35EE09-10C2-6673-4464-F89ECF89430F}"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63216" width="5.421875" customWidth="1"/>
    <col min="2" max="2" style="63216" width="9.140625" customWidth="1"/>
    <col min="3" max="3" style="63216" width="16.421875" customWidth="1"/>
    <col min="4" max="25" style="63216" width="6.28125" customWidth="1"/>
    <col min="26" max="28" style="63216" width="11.00390625"/>
  </cols>
  <sheetData>
    <row customHeight="1" ht="15.75">
      <c r="A1" s="2392"/>
      <c r="B1" s="2393"/>
      <c r="C1" s="2393"/>
      <c r="D1" s="2393"/>
      <c r="E1" s="2393"/>
      <c r="F1" s="2393"/>
      <c r="G1" s="2393"/>
      <c r="H1" s="2393"/>
      <c r="I1" s="2393"/>
      <c r="J1" s="2393"/>
      <c r="K1" s="2393"/>
      <c r="L1" s="2393"/>
      <c r="M1" s="2393"/>
      <c r="N1" s="2393"/>
      <c r="O1" s="2393"/>
      <c r="P1" s="2393"/>
      <c r="Q1" s="2393"/>
      <c r="R1" s="2393"/>
      <c r="S1" s="2393"/>
      <c r="T1" s="2393"/>
      <c r="U1" s="2393"/>
      <c r="V1" s="2393"/>
      <c r="W1" s="2393"/>
      <c r="X1" s="2393"/>
      <c r="Y1" s="2394"/>
      <c r="Z1" s="2393"/>
      <c r="AA1" s="2395" t="s">
        <v>0</v>
      </c>
      <c r="AB1" s="2393"/>
    </row>
    <row customHeight="1" ht="17.25">
      <c r="A2" s="2393"/>
      <c r="B2" s="2769" t="s">
        <v>1</v>
      </c>
      <c r="C2" s="2769"/>
      <c r="D2" s="2769"/>
      <c r="E2" s="2769"/>
      <c r="F2" s="2769"/>
      <c r="G2" s="2769"/>
      <c r="H2" s="2769"/>
      <c r="I2" s="2769"/>
      <c r="J2" s="2769"/>
      <c r="K2" s="2769"/>
      <c r="L2" s="2769"/>
      <c r="M2" s="2769"/>
      <c r="N2" s="2769"/>
      <c r="O2" s="2769"/>
      <c r="P2" s="2769"/>
      <c r="Q2" s="2397"/>
      <c r="R2" s="2397"/>
      <c r="S2" s="2397"/>
      <c r="T2" s="2397"/>
      <c r="U2" s="2397"/>
      <c r="V2" s="2398"/>
      <c r="W2" s="2397"/>
      <c r="X2" s="2397"/>
      <c r="Y2" s="2394"/>
      <c r="Z2" s="2393"/>
      <c r="AA2" s="2395"/>
      <c r="AB2" s="2393"/>
    </row>
    <row customHeight="1" ht="15.75">
      <c r="A3" s="2393"/>
      <c r="B3" s="2770" t="s">
        <v>2</v>
      </c>
      <c r="C3" s="2770"/>
      <c r="D3" s="2770"/>
      <c r="E3" s="2770"/>
      <c r="F3" s="2770"/>
      <c r="G3" s="2770"/>
      <c r="H3" s="2770"/>
      <c r="I3" s="2770"/>
      <c r="J3" s="2770"/>
      <c r="K3" s="2770"/>
      <c r="L3" s="2770"/>
      <c r="M3" s="2770"/>
      <c r="N3" s="2770"/>
      <c r="O3" s="2770"/>
      <c r="P3" s="2770"/>
      <c r="Q3" s="2398"/>
      <c r="R3" s="2398"/>
      <c r="S3" s="2397"/>
      <c r="T3" s="2397"/>
      <c r="U3" s="2397"/>
      <c r="V3" s="2398"/>
      <c r="W3" s="2398"/>
      <c r="X3" s="2398"/>
      <c r="Y3" s="2398"/>
      <c r="Z3" s="2393"/>
      <c r="AA3" s="2395"/>
      <c r="AB3" s="2393"/>
    </row>
    <row customHeight="1" ht="17.25">
      <c r="A4" s="2393"/>
      <c r="B4" s="2399"/>
      <c r="C4" s="2393"/>
      <c r="D4" s="2398"/>
      <c r="E4" s="2398"/>
      <c r="F4" s="2398"/>
      <c r="G4" s="2398"/>
      <c r="H4" s="2398"/>
      <c r="I4" s="2398"/>
      <c r="J4" s="2398"/>
      <c r="K4" s="2398"/>
      <c r="L4" s="2398"/>
      <c r="M4" s="2398"/>
      <c r="N4" s="2398"/>
      <c r="O4" s="2398"/>
      <c r="P4" s="2398"/>
      <c r="Q4" s="2398"/>
      <c r="R4" s="2398"/>
      <c r="S4" s="2398"/>
      <c r="T4" s="2398"/>
      <c r="U4" s="2398"/>
      <c r="V4" s="2398"/>
      <c r="W4" s="2398"/>
      <c r="X4" s="2398"/>
      <c r="Y4" s="2398"/>
      <c r="Z4" s="2393"/>
      <c r="AA4" s="2395"/>
      <c r="AB4" s="2393"/>
    </row>
    <row customHeight="1" ht="22.5">
      <c r="A5" s="2400"/>
      <c r="B5" s="277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772"/>
      <c r="D5" s="2772"/>
      <c r="E5" s="2772"/>
      <c r="F5" s="2772"/>
      <c r="G5" s="2772"/>
      <c r="H5" s="2772"/>
      <c r="I5" s="2772"/>
      <c r="J5" s="2772"/>
      <c r="K5" s="2772"/>
      <c r="L5" s="2772"/>
      <c r="M5" s="2772"/>
      <c r="N5" s="2772"/>
      <c r="O5" s="2772"/>
      <c r="P5" s="2772"/>
      <c r="Q5" s="2772"/>
      <c r="R5" s="2772"/>
      <c r="S5" s="2772"/>
      <c r="T5" s="2772"/>
      <c r="U5" s="2772"/>
      <c r="V5" s="2772"/>
      <c r="W5" s="2772"/>
      <c r="X5" s="2772"/>
      <c r="Y5" s="2773"/>
      <c r="Z5" s="2400"/>
      <c r="AA5" s="2395"/>
      <c r="AB5" s="2400"/>
    </row>
    <row customHeight="1" ht="15">
      <c r="A6" s="2401"/>
      <c r="B6" s="2774" t="s">
        <v>3</v>
      </c>
      <c r="C6" s="2775"/>
      <c r="D6" s="2402"/>
      <c r="E6" s="2402"/>
      <c r="F6" s="2402"/>
      <c r="G6" s="2402"/>
      <c r="H6" s="2402"/>
      <c r="I6" s="2402"/>
      <c r="J6" s="2402"/>
      <c r="K6" s="2402"/>
      <c r="L6" s="2402"/>
      <c r="M6" s="2402"/>
      <c r="N6" s="2402"/>
      <c r="O6" s="2402"/>
      <c r="P6" s="2402"/>
      <c r="Q6" s="2402"/>
      <c r="R6" s="2402"/>
      <c r="S6" s="2402"/>
      <c r="T6" s="2402"/>
      <c r="U6" s="2402"/>
      <c r="V6" s="2402"/>
      <c r="W6" s="2402"/>
      <c r="X6" s="2402"/>
      <c r="Y6" s="2403"/>
      <c r="Z6" s="2404"/>
      <c r="AA6" s="2405"/>
      <c r="AB6" s="2405"/>
    </row>
    <row customHeight="1" ht="15">
      <c r="A7" s="2401"/>
      <c r="B7" s="2774"/>
      <c r="C7" s="2775"/>
      <c r="D7" s="2402"/>
      <c r="E7" s="2402"/>
      <c r="F7" s="2406"/>
      <c r="G7" s="2406"/>
      <c r="H7" s="2406"/>
      <c r="I7" s="2406"/>
      <c r="J7" s="2406"/>
      <c r="K7" s="2406"/>
      <c r="L7" s="2406"/>
      <c r="M7" s="2406"/>
      <c r="N7" s="2406"/>
      <c r="O7" s="2402"/>
      <c r="P7" s="2406"/>
      <c r="Q7" s="2406"/>
      <c r="R7" s="2406"/>
      <c r="S7" s="2406"/>
      <c r="T7" s="2406"/>
      <c r="U7" s="2406"/>
      <c r="V7" s="2406"/>
      <c r="W7" s="2406"/>
      <c r="X7" s="2406"/>
      <c r="Y7" s="2403"/>
      <c r="Z7" s="2404"/>
      <c r="AA7" s="2405"/>
      <c r="AB7" s="2405"/>
    </row>
    <row customHeight="1" ht="15">
      <c r="A8" s="2401"/>
      <c r="B8" s="2774"/>
      <c r="C8" s="2775"/>
      <c r="D8" s="2407"/>
      <c r="E8" s="2408" t="s">
        <v>4</v>
      </c>
      <c r="F8" s="2777" t="s">
        <v>5</v>
      </c>
      <c r="G8" s="2778"/>
      <c r="H8" s="2778"/>
      <c r="I8" s="2778"/>
      <c r="J8" s="2778"/>
      <c r="K8" s="2778"/>
      <c r="L8" s="2778"/>
      <c r="M8" s="2778"/>
      <c r="N8" s="2407"/>
      <c r="O8" s="2409" t="s">
        <v>4</v>
      </c>
      <c r="P8" s="2779" t="s">
        <v>6</v>
      </c>
      <c r="Q8" s="2780"/>
      <c r="R8" s="2780"/>
      <c r="S8" s="2780"/>
      <c r="T8" s="2780"/>
      <c r="U8" s="2780"/>
      <c r="V8" s="2780"/>
      <c r="W8" s="2780"/>
      <c r="X8" s="2780"/>
      <c r="Y8" s="2403"/>
      <c r="Z8" s="2404"/>
      <c r="AA8" s="2405"/>
      <c r="AB8" s="2405"/>
    </row>
    <row customHeight="1" ht="15">
      <c r="A9" s="2401"/>
      <c r="B9" s="2774"/>
      <c r="C9" s="2775"/>
      <c r="D9" s="2407"/>
      <c r="E9" s="2410" t="s">
        <v>4</v>
      </c>
      <c r="F9" s="2777" t="s">
        <v>7</v>
      </c>
      <c r="G9" s="2778"/>
      <c r="H9" s="2778"/>
      <c r="I9" s="2778"/>
      <c r="J9" s="2778"/>
      <c r="K9" s="2778"/>
      <c r="L9" s="2778"/>
      <c r="M9" s="2778"/>
      <c r="N9" s="2407"/>
      <c r="O9" s="2411" t="s">
        <v>4</v>
      </c>
      <c r="P9" s="2779" t="s">
        <v>8</v>
      </c>
      <c r="Q9" s="2780"/>
      <c r="R9" s="2780"/>
      <c r="S9" s="2780"/>
      <c r="T9" s="2780"/>
      <c r="U9" s="2780"/>
      <c r="V9" s="2780"/>
      <c r="W9" s="2780"/>
      <c r="X9" s="2780"/>
      <c r="Y9" s="2403"/>
      <c r="Z9" s="2404"/>
      <c r="AA9" s="2405"/>
      <c r="AB9" s="2405"/>
    </row>
    <row customHeight="1" ht="30">
      <c r="A10" s="2401"/>
      <c r="B10" s="2774"/>
      <c r="C10" s="2776"/>
      <c r="D10" s="2412"/>
      <c r="E10" s="2413"/>
      <c r="F10" s="2406"/>
      <c r="G10" s="2406"/>
      <c r="H10" s="2406"/>
      <c r="I10" s="2406"/>
      <c r="J10" s="2406"/>
      <c r="K10" s="2406"/>
      <c r="L10" s="2406"/>
      <c r="M10" s="2406"/>
      <c r="N10" s="2406"/>
      <c r="O10" s="2413"/>
      <c r="P10" s="2406"/>
      <c r="Q10" s="2406"/>
      <c r="R10" s="2406"/>
      <c r="S10" s="2406"/>
      <c r="T10" s="2406"/>
      <c r="U10" s="2406"/>
      <c r="V10" s="2406"/>
      <c r="W10" s="2406"/>
      <c r="X10" s="2406"/>
      <c r="Y10" s="2403"/>
      <c r="Z10" s="2404"/>
      <c r="AA10" s="2405"/>
      <c r="AB10" s="2405"/>
    </row>
    <row customHeight="1" ht="19.5">
      <c r="A11" s="2401"/>
      <c r="B11" s="2781" t="s">
        <v>9</v>
      </c>
      <c r="C11" s="2782"/>
      <c r="D11" s="2407"/>
      <c r="E11" s="2414"/>
      <c r="F11" s="2414"/>
      <c r="G11" s="2414"/>
      <c r="H11" s="2414"/>
      <c r="I11" s="2414"/>
      <c r="J11" s="2414"/>
      <c r="K11" s="2414"/>
      <c r="L11" s="2414"/>
      <c r="M11" s="2414"/>
      <c r="N11" s="2414"/>
      <c r="O11" s="2414"/>
      <c r="P11" s="2414"/>
      <c r="Q11" s="2414"/>
      <c r="R11" s="2414"/>
      <c r="S11" s="2414"/>
      <c r="T11" s="2414"/>
      <c r="U11" s="2414"/>
      <c r="V11" s="2414"/>
      <c r="W11" s="2414"/>
      <c r="X11" s="2414"/>
      <c r="Y11" s="2403"/>
      <c r="Z11" s="2404"/>
      <c r="AA11" s="2405"/>
      <c r="AB11" s="2405"/>
    </row>
    <row customHeight="1" ht="69">
      <c r="A12" s="2401"/>
      <c r="B12" s="2774"/>
      <c r="C12" s="2776"/>
      <c r="D12" s="2415"/>
      <c r="E12" s="2778" t="s">
        <v>10</v>
      </c>
      <c r="F12" s="2778"/>
      <c r="G12" s="2778"/>
      <c r="H12" s="2778"/>
      <c r="I12" s="2778"/>
      <c r="J12" s="2778"/>
      <c r="K12" s="2778"/>
      <c r="L12" s="2778"/>
      <c r="M12" s="2778"/>
      <c r="N12" s="2778"/>
      <c r="O12" s="2778"/>
      <c r="P12" s="2778"/>
      <c r="Q12" s="2778"/>
      <c r="R12" s="2778"/>
      <c r="S12" s="2778"/>
      <c r="T12" s="2778"/>
      <c r="U12" s="2778"/>
      <c r="V12" s="2778"/>
      <c r="W12" s="2778"/>
      <c r="X12" s="2778"/>
      <c r="Y12" s="2403"/>
      <c r="Z12" s="2404"/>
      <c r="AA12" s="2405"/>
      <c r="AB12" s="2405"/>
    </row>
    <row customHeight="1" ht="15">
      <c r="A13" s="2401"/>
      <c r="B13" s="2781" t="s">
        <v>11</v>
      </c>
      <c r="C13" s="2782"/>
      <c r="D13" s="2402"/>
      <c r="E13" s="2414"/>
      <c r="F13" s="2414"/>
      <c r="G13" s="2414"/>
      <c r="H13" s="2414"/>
      <c r="I13" s="2414"/>
      <c r="J13" s="2414"/>
      <c r="K13" s="2414"/>
      <c r="L13" s="2414"/>
      <c r="M13" s="2414"/>
      <c r="N13" s="2414"/>
      <c r="O13" s="2414"/>
      <c r="P13" s="2414"/>
      <c r="Q13" s="2414"/>
      <c r="R13" s="2414"/>
      <c r="S13" s="2414"/>
      <c r="T13" s="2414"/>
      <c r="U13" s="2414"/>
      <c r="V13" s="2414"/>
      <c r="W13" s="2414"/>
      <c r="X13" s="2414"/>
      <c r="Y13" s="2403"/>
      <c r="Z13" s="2404"/>
      <c r="AA13" s="2405"/>
      <c r="AB13" s="2405"/>
    </row>
    <row customHeight="1" ht="57">
      <c r="A14" s="2401"/>
      <c r="B14" s="2774"/>
      <c r="C14" s="2775"/>
      <c r="D14" s="2407"/>
      <c r="E14" s="2785" t="s">
        <v>12</v>
      </c>
      <c r="F14" s="2785"/>
      <c r="G14" s="2785"/>
      <c r="H14" s="2785"/>
      <c r="I14" s="2785"/>
      <c r="J14" s="2785"/>
      <c r="K14" s="2785"/>
      <c r="L14" s="2785"/>
      <c r="M14" s="2785"/>
      <c r="N14" s="2785"/>
      <c r="O14" s="2785"/>
      <c r="P14" s="2785"/>
      <c r="Q14" s="2785"/>
      <c r="R14" s="2785"/>
      <c r="S14" s="2785"/>
      <c r="T14" s="2785"/>
      <c r="U14" s="2785"/>
      <c r="V14" s="2785"/>
      <c r="W14" s="2785"/>
      <c r="X14" s="2785"/>
      <c r="Y14" s="2403"/>
      <c r="Z14" s="2404"/>
      <c r="AA14" s="2405"/>
      <c r="AB14" s="2405"/>
    </row>
    <row customHeight="1" ht="16.5">
      <c r="A15" s="2401"/>
      <c r="B15" s="2783"/>
      <c r="C15" s="2784"/>
      <c r="D15" s="2416"/>
      <c r="E15" s="2417"/>
      <c r="F15" s="2417"/>
      <c r="G15" s="2417"/>
      <c r="H15" s="2417"/>
      <c r="I15" s="2417"/>
      <c r="J15" s="2417"/>
      <c r="K15" s="2417"/>
      <c r="L15" s="2417"/>
      <c r="M15" s="2417"/>
      <c r="N15" s="2417"/>
      <c r="O15" s="2417"/>
      <c r="P15" s="2417"/>
      <c r="Q15" s="2417"/>
      <c r="R15" s="2417"/>
      <c r="S15" s="2417"/>
      <c r="T15" s="2417"/>
      <c r="U15" s="2417"/>
      <c r="V15" s="2417"/>
      <c r="W15" s="2417"/>
      <c r="X15" s="2417"/>
      <c r="Y15" s="2418"/>
      <c r="Z15" s="2404"/>
      <c r="AA15" s="2419"/>
      <c r="AB15" s="2405"/>
    </row>
    <row customHeight="1" ht="95.25">
      <c r="A16" s="2393"/>
      <c r="B16" s="2785"/>
      <c r="C16" s="2786"/>
      <c r="D16" s="2786"/>
      <c r="E16" s="2786"/>
      <c r="F16" s="2786"/>
      <c r="G16" s="2786"/>
      <c r="H16" s="2786"/>
      <c r="I16" s="2786"/>
      <c r="J16" s="2786"/>
      <c r="K16" s="2786"/>
      <c r="L16" s="2786"/>
      <c r="M16" s="2786"/>
      <c r="N16" s="2786"/>
      <c r="O16" s="2786"/>
      <c r="P16" s="2786"/>
      <c r="Q16" s="2786"/>
      <c r="R16" s="2786"/>
      <c r="S16" s="2786"/>
      <c r="T16" s="2786"/>
      <c r="U16" s="2786"/>
      <c r="V16" s="2786"/>
      <c r="W16" s="2786"/>
      <c r="X16" s="2786"/>
      <c r="Y16" s="2786"/>
      <c r="Z16" s="2393"/>
      <c r="AA16" s="2395"/>
      <c r="AB16" s="2393"/>
    </row>
    <row customHeight="1" ht="14.25">
      <c r="A17" s="2393"/>
      <c r="B17" s="2393"/>
      <c r="C17" s="2393"/>
      <c r="D17" s="2393"/>
      <c r="E17" s="2393"/>
      <c r="F17" s="2393"/>
      <c r="G17" s="2393"/>
      <c r="H17" s="2393"/>
      <c r="I17" s="2393"/>
      <c r="J17" s="2393"/>
      <c r="K17" s="2393"/>
      <c r="L17" s="2393"/>
      <c r="M17" s="2393"/>
      <c r="N17" s="2393"/>
      <c r="O17" s="2393"/>
      <c r="P17" s="2393"/>
      <c r="Q17" s="2393"/>
      <c r="R17" s="2393"/>
      <c r="S17" s="2393"/>
      <c r="T17" s="2393"/>
      <c r="U17" s="2393"/>
      <c r="V17" s="2393"/>
      <c r="W17" s="2393"/>
      <c r="X17" s="2393"/>
      <c r="Y17" s="2394"/>
      <c r="Z17" s="2393"/>
      <c r="AA17" s="2395"/>
      <c r="AB17" s="2393"/>
    </row>
    <row customHeight="1" ht="14.25">
      <c r="A18" s="2393"/>
      <c r="B18" s="2393"/>
      <c r="C18" s="2393"/>
      <c r="D18" s="2393"/>
      <c r="E18" s="2393"/>
      <c r="F18" s="2393"/>
      <c r="G18" s="2393"/>
      <c r="H18" s="2393"/>
      <c r="I18" s="2393"/>
      <c r="J18" s="2393"/>
      <c r="K18" s="2393"/>
      <c r="L18" s="2393"/>
      <c r="M18" s="2393"/>
      <c r="N18" s="2393"/>
      <c r="O18" s="2393"/>
      <c r="P18" s="2393"/>
      <c r="Q18" s="2393"/>
      <c r="R18" s="2393"/>
      <c r="S18" s="2393"/>
      <c r="T18" s="2393"/>
      <c r="U18" s="2393"/>
      <c r="V18" s="2393"/>
      <c r="W18" s="2393"/>
      <c r="X18" s="2393"/>
      <c r="Y18" s="2394"/>
      <c r="Z18" s="2393"/>
      <c r="AA18" s="2395"/>
      <c r="AB18" s="2393"/>
    </row>
    <row customHeight="1" ht="14.25">
      <c r="A19" s="2393"/>
      <c r="B19" s="2393"/>
      <c r="C19" s="2393"/>
      <c r="D19" s="2393"/>
      <c r="E19" s="2393"/>
      <c r="F19" s="2393"/>
      <c r="G19" s="2393"/>
      <c r="H19" s="2393"/>
      <c r="I19" s="2393"/>
      <c r="J19" s="2393"/>
      <c r="K19" s="2393"/>
      <c r="L19" s="2393"/>
      <c r="M19" s="2393"/>
      <c r="N19" s="2393"/>
      <c r="O19" s="2393"/>
      <c r="P19" s="2393"/>
      <c r="Q19" s="2393"/>
      <c r="R19" s="2393"/>
      <c r="S19" s="2393"/>
      <c r="T19" s="2393"/>
      <c r="U19" s="2393"/>
      <c r="V19" s="2393"/>
      <c r="W19" s="2393"/>
      <c r="X19" s="2393"/>
      <c r="Y19" s="2394"/>
      <c r="Z19" s="2393"/>
      <c r="AA19" s="2395"/>
      <c r="AB19" s="2393"/>
    </row>
    <row customHeight="1" ht="14.25">
      <c r="A20" s="2393"/>
      <c r="B20" s="2393"/>
      <c r="C20" s="2393"/>
      <c r="D20" s="2393"/>
      <c r="E20" s="2393"/>
      <c r="F20" s="2393"/>
      <c r="G20" s="2393"/>
      <c r="H20" s="2393"/>
      <c r="I20" s="2393"/>
      <c r="J20" s="2393"/>
      <c r="K20" s="2393"/>
      <c r="L20" s="2393"/>
      <c r="M20" s="2393"/>
      <c r="N20" s="2393"/>
      <c r="O20" s="2393"/>
      <c r="P20" s="2393"/>
      <c r="Q20" s="2393"/>
      <c r="R20" s="2393"/>
      <c r="S20" s="2393"/>
      <c r="T20" s="2393"/>
      <c r="U20" s="2393"/>
      <c r="V20" s="2393"/>
      <c r="W20" s="2393"/>
      <c r="X20" s="2393"/>
      <c r="Y20" s="2394"/>
      <c r="Z20" s="2393"/>
      <c r="AA20" s="2395"/>
      <c r="AB20" s="2393"/>
    </row>
    <row customHeight="1" ht="14.25">
      <c r="A21" s="2393"/>
      <c r="B21" s="2393"/>
      <c r="C21" s="2393"/>
      <c r="D21" s="2393"/>
      <c r="E21" s="2393"/>
      <c r="F21" s="2393"/>
      <c r="G21" s="2393"/>
      <c r="H21" s="2393"/>
      <c r="I21" s="2393"/>
      <c r="J21" s="2393"/>
      <c r="K21" s="2393"/>
      <c r="L21" s="2393"/>
      <c r="M21" s="2393"/>
      <c r="N21" s="2393"/>
      <c r="O21" s="2393"/>
      <c r="P21" s="2393"/>
      <c r="Q21" s="2393"/>
      <c r="R21" s="2393"/>
      <c r="S21" s="2393"/>
      <c r="T21" s="2393"/>
      <c r="U21" s="2393"/>
      <c r="V21" s="2393"/>
      <c r="W21" s="2393"/>
      <c r="X21" s="2393"/>
      <c r="Y21" s="2394"/>
      <c r="Z21" s="2393"/>
      <c r="AA21" s="2395"/>
      <c r="AB21" s="2393"/>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053953-4DEE-50CA-B717-17D802E6F0DF}"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62759" width="9.140625" hidden="1" customWidth="1"/>
    <col min="2" max="3" style="62286" width="9.140625" hidden="1" customWidth="1"/>
    <col min="4" max="4" style="62687" width="3.00390625" customWidth="1"/>
    <col min="5" max="5" style="62286" width="6.00390625" customWidth="1"/>
    <col min="6" max="6" style="62286" width="1.7109375" hidden="1" customWidth="1"/>
    <col min="7" max="8" style="62286" width="30.00390625" customWidth="1"/>
    <col min="9" max="9" style="62286" width="8.00390625" customWidth="1"/>
    <col min="10" max="10" style="62286" width="12.140625" customWidth="1"/>
    <col min="11" max="11" style="62286" width="46.00390625" customWidth="1"/>
    <col min="12" max="12" style="62286" width="100.00390625" customWidth="1"/>
    <col min="13" max="13" style="58273" width="7.00390625" customWidth="1"/>
    <col min="14" max="22" style="62286" width="10.00390625" customWidth="1"/>
    <col min="23" max="23" style="62286" width="10.57421875" hidden="1"/>
  </cols>
  <sheetData>
    <row s="61695" customFormat="1" customHeight="1" ht="5.25" hidden="1">
      <c r="C1" s="1203"/>
      <c r="D1" s="1186"/>
      <c r="F1" s="1203"/>
      <c r="G1" s="1181" t="s">
        <v>84</v>
      </c>
      <c r="H1" s="1181" t="s">
        <v>85</v>
      </c>
      <c r="I1" s="1181" t="s">
        <v>86</v>
      </c>
      <c r="P1" s="1181" t="s">
        <v>84</v>
      </c>
      <c r="Q1" s="1181" t="s">
        <v>85</v>
      </c>
      <c r="R1" s="1181" t="s">
        <v>86</v>
      </c>
      <c r="W1" s="1181" t="s">
        <v>14</v>
      </c>
    </row>
    <row s="61695" customFormat="1" customHeight="1" ht="5.25" hidden="1">
      <c r="C2" s="1203"/>
      <c r="D2" s="1186"/>
      <c r="F2" s="1203"/>
      <c r="W2" s="1181">
        <v>0</v>
      </c>
    </row>
    <row s="58292" customFormat="1" customHeight="1" ht="5.25">
      <c r="A3" s="1171"/>
      <c r="D3" s="1178"/>
      <c r="E3" s="1173"/>
      <c r="F3" s="1173"/>
      <c r="G3" s="1173"/>
      <c r="H3" s="1173"/>
      <c r="I3" s="1174"/>
      <c r="J3" s="1175"/>
      <c r="K3" s="1175"/>
      <c r="L3" s="1175"/>
      <c r="W3" s="1172">
        <v>5</v>
      </c>
    </row>
    <row customHeight="1" ht="23.25">
      <c r="D4" s="1142"/>
      <c r="E4" s="2930" t="s">
        <v>463</v>
      </c>
      <c r="F4" s="2930"/>
      <c r="G4" s="2931"/>
      <c r="H4" s="2931"/>
      <c r="I4" s="2932"/>
      <c r="J4" s="1183"/>
      <c r="K4" s="1145"/>
      <c r="L4" s="1145"/>
      <c r="W4" s="1139">
        <v>22</v>
      </c>
    </row>
    <row s="62286" customFormat="1" customHeight="1" ht="18">
      <c r="A5" s="1451"/>
      <c r="D5" s="1514"/>
      <c r="E5" s="2906" t="str">
        <f>IF(org=0,"Не определено",org)</f>
        <v>АО "ДГК"</v>
      </c>
      <c r="F5" s="2906"/>
      <c r="G5" s="2907"/>
      <c r="H5" s="2907"/>
      <c r="I5" s="2908"/>
      <c r="J5" s="1183"/>
      <c r="K5" s="1145"/>
      <c r="L5" s="1145"/>
      <c r="M5" s="1199"/>
      <c r="W5" s="1450">
        <v>17</v>
      </c>
    </row>
    <row s="58292" customFormat="1" customHeight="1" ht="11.549999999999999">
      <c r="A6" s="1171"/>
      <c r="D6" s="1178"/>
      <c r="E6" s="1173"/>
      <c r="F6" s="1173"/>
      <c r="G6" s="1176"/>
      <c r="H6" s="1176"/>
      <c r="I6" s="1177"/>
      <c r="J6" s="1177"/>
      <c r="K6" s="1444"/>
      <c r="L6" s="1177"/>
      <c r="W6" s="1172">
        <v>11</v>
      </c>
    </row>
    <row customHeight="1" ht="14.699999999999998">
      <c r="D7" s="1142"/>
      <c r="E7" s="2900" t="s">
        <v>375</v>
      </c>
      <c r="F7" s="2900"/>
      <c r="G7" s="2901"/>
      <c r="H7" s="2901"/>
      <c r="I7" s="2901"/>
      <c r="J7" s="2901"/>
      <c r="K7" s="2901"/>
      <c r="L7" s="2915" t="s">
        <v>376</v>
      </c>
      <c r="W7" s="1139">
        <v>14</v>
      </c>
    </row>
    <row customHeight="1" ht="48.29999999999999">
      <c r="D8" s="1142"/>
      <c r="E8" s="1165" t="s">
        <v>89</v>
      </c>
      <c r="F8" s="1515"/>
      <c r="G8" s="1157" t="s">
        <v>87</v>
      </c>
      <c r="H8" s="1157" t="s">
        <v>88</v>
      </c>
      <c r="I8" s="1106" t="s">
        <v>86</v>
      </c>
      <c r="J8" s="1106" t="s">
        <v>464</v>
      </c>
      <c r="K8" s="1106" t="s">
        <v>465</v>
      </c>
      <c r="L8" s="2915"/>
      <c r="W8" s="1139">
        <v>46</v>
      </c>
    </row>
    <row customHeight="1" ht="12" hidden="1">
      <c r="D9" s="1179"/>
      <c r="E9" s="1185"/>
      <c r="F9" s="1522"/>
      <c r="G9" s="1185"/>
      <c r="H9" s="1185"/>
      <c r="I9" s="1185"/>
      <c r="J9" s="1185"/>
      <c r="K9" s="1185"/>
      <c r="L9" s="1185"/>
      <c r="M9" s="1139"/>
      <c r="W9" s="1139">
        <v>0</v>
      </c>
    </row>
    <row customHeight="1" ht="14.25" hidden="1">
      <c r="A10" s="1197"/>
      <c r="B10" s="1197"/>
      <c r="D10" s="1198"/>
      <c r="E10" s="1204">
        <v>0</v>
      </c>
      <c r="F10" s="1513"/>
      <c r="G10" s="1200"/>
      <c r="H10" s="1200"/>
      <c r="I10" s="1200"/>
      <c r="J10" s="1200"/>
      <c r="K10" s="1200"/>
      <c r="L10" s="2913" t="s">
        <v>466</v>
      </c>
      <c r="M10" s="1199"/>
      <c r="N10" s="1197"/>
      <c r="O10" s="1197"/>
      <c r="P10" s="1197"/>
      <c r="Q10" s="1197"/>
      <c r="R10" s="1197"/>
      <c r="S10" s="1197"/>
      <c r="T10" s="1197"/>
      <c r="U10" s="1197"/>
      <c r="V10" s="1197"/>
      <c r="W10" s="1139">
        <v>0</v>
      </c>
    </row>
    <row customHeight="1" ht="15" hidden="1">
      <c r="A11" s="2791"/>
      <c r="B11" s="1196"/>
      <c r="C11" s="1196"/>
      <c r="D11" s="1557"/>
      <c r="E11" s="1205"/>
      <c r="F11" s="1205"/>
      <c r="G11" s="1205"/>
      <c r="H11" s="1205"/>
      <c r="I11" s="1206"/>
      <c r="J11" s="1207"/>
      <c r="K11" s="1405"/>
      <c r="L11" s="2933"/>
      <c r="M11" s="1203"/>
      <c r="N11" s="1203"/>
      <c r="O11" s="1203"/>
      <c r="P11" s="1208"/>
      <c r="Q11" s="1208"/>
      <c r="R11" s="1209"/>
      <c r="S11" s="1203"/>
      <c r="T11" s="1203"/>
      <c r="U11" s="1203"/>
      <c r="V11" s="1203"/>
      <c r="W11" s="1139">
        <v>0</v>
      </c>
    </row>
    <row s="58292" customFormat="1" customHeight="1" ht="15">
      <c r="A12" s="2791"/>
      <c r="B12" s="1196"/>
      <c r="C12" s="1196"/>
      <c r="D12" s="1558"/>
      <c r="E12" s="1515">
        <v>1</v>
      </c>
      <c r="F12" s="1556">
        <v>23</v>
      </c>
      <c r="G12" s="1555"/>
      <c r="H12" s="1485"/>
      <c r="I12" s="1483"/>
      <c r="J12" s="1212" t="s">
        <v>67</v>
      </c>
      <c r="K12" s="1856" t="s">
        <v>28</v>
      </c>
      <c r="L12" s="2933"/>
      <c r="M12" s="1203"/>
      <c r="N12" s="1203"/>
      <c r="O12" s="1203"/>
      <c r="P12" s="1208" t="s">
        <v>467</v>
      </c>
      <c r="Q12" s="1208" t="s">
        <v>468</v>
      </c>
      <c r="R12" s="1209" t="s">
        <v>469</v>
      </c>
      <c r="S12" s="1203" t="s">
        <v>470</v>
      </c>
      <c r="T12" s="1203"/>
      <c r="U12" s="1203"/>
      <c r="V12" s="1203"/>
      <c r="W12" s="1172">
        <v>14</v>
      </c>
    </row>
    <row customHeight="1" ht="15.75">
      <c r="A13" s="2791"/>
      <c r="B13" s="1197"/>
      <c r="D13" s="1198"/>
      <c r="E13" s="1097"/>
      <c r="F13" s="1221"/>
      <c r="G13" s="1108" t="s">
        <v>102</v>
      </c>
      <c r="H13" s="1096"/>
      <c r="I13" s="1096"/>
      <c r="J13" s="1096"/>
      <c r="K13" s="1095"/>
      <c r="L13" s="2914"/>
      <c r="M13" s="1201"/>
      <c r="N13" s="1197"/>
      <c r="O13" s="1197"/>
      <c r="P13" s="1197"/>
      <c r="Q13" s="1197"/>
      <c r="R13" s="1197"/>
      <c r="S13" s="1197"/>
      <c r="T13" s="1197"/>
      <c r="U13" s="1197"/>
      <c r="V13" s="1197"/>
      <c r="W13" s="1139">
        <v>15</v>
      </c>
    </row>
    <row customHeight="1" ht="11.549999999999999">
      <c r="A14" s="1171"/>
      <c r="B14" s="1172"/>
      <c r="C14" s="1172"/>
      <c r="D14" s="1187"/>
      <c r="E14" s="1172"/>
      <c r="F14" s="1172"/>
      <c r="G14" s="1172"/>
      <c r="H14" s="1172"/>
      <c r="I14" s="1172"/>
      <c r="J14" s="1172"/>
      <c r="K14" s="1172"/>
      <c r="L14" s="1172"/>
      <c r="M14" s="1172"/>
      <c r="N14" s="1172"/>
      <c r="O14" s="1172"/>
      <c r="P14" s="1172"/>
      <c r="Q14" s="1172"/>
      <c r="R14" s="1172"/>
      <c r="S14" s="1172"/>
      <c r="T14" s="1172"/>
      <c r="U14" s="1172"/>
      <c r="V14" s="1172"/>
      <c r="W14" s="1139">
        <v>11</v>
      </c>
    </row>
    <row customHeight="1" ht="14.699999999999998">
      <c r="D15" s="1158"/>
      <c r="E15" s="1028"/>
      <c r="F15" s="1028"/>
      <c r="G15" s="135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1158"/>
      <c r="I15" s="1158"/>
      <c r="J15" s="1158"/>
      <c r="K15" s="1158"/>
      <c r="L15" s="1158"/>
      <c r="W15" s="1139">
        <v>14</v>
      </c>
    </row>
    <row customHeight="1" ht="14.699999999999998">
      <c r="W16" s="1139">
        <v>14</v>
      </c>
    </row>
    <row customHeight="1" ht="14.699999999999998">
      <c r="W17" s="1139">
        <v>14</v>
      </c>
    </row>
    <row customHeight="1" ht="14.699999999999998">
      <c r="G18" s="1197"/>
      <c r="W18" s="1139">
        <v>14</v>
      </c>
    </row>
    <row customHeight="1" ht="22.5" hidden="1">
      <c r="A19" s="1141" t="s">
        <v>83</v>
      </c>
      <c r="B19" s="1139">
        <v>0</v>
      </c>
      <c r="C19" s="1450">
        <v>0</v>
      </c>
      <c r="D19" s="1143">
        <v>3</v>
      </c>
      <c r="E19" s="1139">
        <v>6</v>
      </c>
      <c r="F19" s="1450">
        <v>0</v>
      </c>
      <c r="G19" s="1139">
        <v>30</v>
      </c>
      <c r="H19" s="1139">
        <v>30</v>
      </c>
      <c r="I19" s="1139">
        <v>8</v>
      </c>
      <c r="J19" s="1139">
        <v>12</v>
      </c>
      <c r="K19" s="1139">
        <v>46</v>
      </c>
      <c r="L19" s="1139">
        <v>100</v>
      </c>
      <c r="M19" s="1144">
        <v>7</v>
      </c>
      <c r="N19" s="1139">
        <v>10</v>
      </c>
      <c r="O19" s="1139">
        <v>10</v>
      </c>
      <c r="P19" s="1139">
        <v>10</v>
      </c>
      <c r="Q19" s="1139">
        <v>10</v>
      </c>
      <c r="R19" s="1139">
        <v>10</v>
      </c>
      <c r="S19" s="1139">
        <v>10</v>
      </c>
      <c r="T19" s="1139">
        <v>10</v>
      </c>
      <c r="U19" s="1139">
        <v>10</v>
      </c>
      <c r="V19" s="1139">
        <v>10</v>
      </c>
      <c r="W19" s="1139">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BEED4F-D9ED-600A-F66E-D3E2AE1B0493}" mc:Ignorable="x14ac xr xr2 xr3">
  <sheetPr>
    <tabColor theme="6" tint="0.4"/>
  </sheetPr>
  <dimension ref="A1:BY93"/>
  <sheetViews>
    <sheetView showGridLines="0" zoomScale="80" workbookViewId="0">
      <pane xSplit="29" ySplit="42" topLeftCell="BA43" activePane="bottomRight" state="frozen"/>
      <selection pane="bottomLeft" activeCell="A43" sqref="A43"/>
      <selection pane="topRight" activeCell="AD1" sqref="AD1"/>
      <selection pane="bottomRight" activeCell="AZ53" sqref="AZ53"/>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2.00390625" hidden="1" customWidth="1"/>
    <col min="10" max="10" style="62148" width="9.8515625" hidden="1" customWidth="1"/>
    <col min="11" max="11" style="62148" width="11.421875" hidden="1" customWidth="1"/>
    <col min="12" max="12" style="63164" width="19.140625" hidden="1" customWidth="1"/>
    <col min="13" max="14" style="61371" width="12.28125" hidden="1" customWidth="1"/>
    <col min="15" max="15" style="61371" width="23.421875" hidden="1" customWidth="1"/>
    <col min="16" max="16" style="63184" width="3.00390625" customWidth="1"/>
    <col min="17" max="18" style="62288" width="3.00390625" customWidth="1"/>
    <col min="19" max="19" style="63156" width="12.00390625" customWidth="1"/>
    <col min="20" max="20" style="62286" width="35.00390625" customWidth="1"/>
    <col min="21" max="21" style="62286" width="0.140625" customWidth="1"/>
    <col min="22" max="22" style="62286" width="24.7109375" hidden="1" customWidth="1"/>
    <col min="23" max="23" style="62286" width="0.140625" hidden="1" customWidth="1"/>
    <col min="24" max="25" style="62286" width="24.7109375" hidden="1" customWidth="1"/>
    <col min="26" max="26" style="62286" width="11.7109375" hidden="1" customWidth="1"/>
    <col min="27" max="27" style="62286" width="3.7109375" hidden="1" customWidth="1"/>
    <col min="28" max="28" style="62286" width="11.7109375" hidden="1" customWidth="1"/>
    <col min="29" max="29" style="62286" width="8.57421875" hidden="1" customWidth="1"/>
    <col min="30" max="30" style="62286" width="24.7109375" customWidth="1"/>
    <col min="31" max="31" style="62286" width="0.140625" customWidth="1"/>
    <col min="32" max="33" style="62286" width="24.00390625" customWidth="1"/>
    <col min="34" max="34" style="62286" width="11.00390625" customWidth="1"/>
    <col min="35" max="35" style="62286" width="3.7109375" customWidth="1"/>
    <col min="36" max="36" style="62286" width="11.00390625" customWidth="1"/>
    <col min="37" max="37" style="62286" width="8.57421875" customWidth="1"/>
    <col min="39" max="39" style="63225" width="0.57421875" customWidth="1"/>
    <col min="47" max="47" style="63225" width="0.140625" customWidth="1"/>
    <col min="55" max="55" style="63225" width="0.421875" customWidth="1"/>
    <col min="63" max="63" style="63225" width="0.28125" customWidth="1"/>
    <col min="69" max="69" style="63225" width="10.57421875" hidden="1"/>
    <col min="70" max="70" style="62286" width="4.00390625" customWidth="1"/>
    <col min="71" max="71" style="62286" width="115.00390625" customWidth="1"/>
    <col min="72" max="76" style="61695" width="10.00390625" customWidth="1"/>
    <col min="77" max="77" style="62286" width="10.57421875" hidden="1"/>
  </cols>
  <sheetData>
    <row customHeight="1" ht="22.5" hidden="1">
      <c r="Y1" s="1019"/>
      <c r="Z1" s="1019"/>
      <c r="AG1" s="1019"/>
      <c r="AH1" s="1019"/>
      <c r="AL1" s="22944"/>
      <c r="AM1" s="22944"/>
      <c r="AN1" s="22944"/>
      <c r="AO1" s="22944"/>
      <c r="AP1" s="22944"/>
      <c r="AQ1" s="22944"/>
      <c r="AR1" s="22944"/>
      <c r="AS1" s="22944"/>
      <c r="AT1" s="22944"/>
      <c r="AU1" s="22944"/>
      <c r="AV1" s="22944"/>
      <c r="AW1" s="22944"/>
      <c r="AX1" s="22944"/>
      <c r="AY1" s="22944"/>
      <c r="AZ1" s="22944"/>
      <c r="BA1" s="22944"/>
      <c r="BB1" s="22944"/>
      <c r="BC1" s="22944"/>
      <c r="BD1" s="22944"/>
      <c r="BE1" s="22944"/>
      <c r="BF1" s="22944"/>
      <c r="BG1" s="22944"/>
      <c r="BH1" s="22944"/>
      <c r="BI1" s="22944"/>
      <c r="BJ1" s="22944"/>
      <c r="BK1" s="22944"/>
      <c r="BL1" s="22944"/>
      <c r="BM1" s="22944"/>
      <c r="BN1" s="22944"/>
      <c r="BO1" s="22944"/>
      <c r="BP1" s="22944"/>
      <c r="BQ1" s="22944"/>
      <c r="BY1" s="1847" t="s">
        <v>14</v>
      </c>
    </row>
    <row customHeight="1" ht="21" hidden="1">
      <c r="A2" s="2055"/>
      <c r="B2" s="2055"/>
      <c r="C2" s="2055"/>
      <c r="D2" s="2055"/>
      <c r="E2" s="2950">
        <v>1</v>
      </c>
      <c r="F2" s="2055"/>
      <c r="G2" s="2055"/>
      <c r="H2" s="2055"/>
      <c r="I2" s="2055"/>
      <c r="J2" s="2055"/>
      <c r="K2" s="2055"/>
      <c r="L2" s="2056"/>
      <c r="M2" s="2057"/>
      <c r="N2" s="2057"/>
      <c r="O2" s="2057"/>
      <c r="P2" s="1053"/>
      <c r="Q2" s="1052"/>
      <c r="R2" s="1047"/>
      <c r="S2" s="2001">
        <f>INDEX(PT_DIFFERENTIATION_NUM_NTAR,MATCH(A2,PT_DIFFERENTIATION_NTAR_ID,0))</f>
      </c>
      <c r="T2" s="990" t="s">
        <v>131</v>
      </c>
      <c r="U2" s="992"/>
      <c r="V2" s="2934"/>
      <c r="W2" s="2935"/>
      <c r="X2" s="2935"/>
      <c r="Y2" s="2935"/>
      <c r="Z2" s="2935"/>
      <c r="AA2" s="2935"/>
      <c r="AB2" s="2935"/>
      <c r="AC2" s="2936"/>
      <c r="AD2" s="2934">
        <f>INDEX(PT_DIFFERENTIATION_NTAR,MATCH(A2,PT_DIFFERENTIATION_NTAR_ID,0))</f>
      </c>
      <c r="AE2" s="2935"/>
      <c r="AF2" s="2935"/>
      <c r="AG2" s="2935"/>
      <c r="AH2" s="2935"/>
      <c r="AI2" s="2935"/>
      <c r="AJ2" s="2935"/>
      <c r="AK2" s="2935"/>
      <c r="AL2" s="22958"/>
      <c r="AM2" s="22959"/>
      <c r="AN2" s="22959"/>
      <c r="AO2" s="22959"/>
      <c r="AP2" s="22959"/>
      <c r="AQ2" s="22959"/>
      <c r="AR2" s="22959"/>
      <c r="AS2" s="22960"/>
      <c r="AT2" s="22958"/>
      <c r="AU2" s="22959"/>
      <c r="AV2" s="22959"/>
      <c r="AW2" s="22959"/>
      <c r="AX2" s="22959"/>
      <c r="AY2" s="22959"/>
      <c r="AZ2" s="22959"/>
      <c r="BA2" s="22960"/>
      <c r="BB2" s="22958"/>
      <c r="BC2" s="22959"/>
      <c r="BD2" s="22959"/>
      <c r="BE2" s="22959"/>
      <c r="BF2" s="22959"/>
      <c r="BG2" s="22959"/>
      <c r="BH2" s="22959"/>
      <c r="BI2" s="22960"/>
      <c r="BJ2" s="22958"/>
      <c r="BK2" s="22959"/>
      <c r="BL2" s="22959"/>
      <c r="BM2" s="22959"/>
      <c r="BN2" s="22959"/>
      <c r="BO2" s="22959"/>
      <c r="BP2" s="22959"/>
      <c r="BQ2" s="22960"/>
      <c r="BR2" s="2936"/>
      <c r="BS2" s="1950" t="s">
        <v>471</v>
      </c>
      <c r="BU2" s="1192"/>
      <c r="BV2" s="1192" t="str">
        <f>IF(T2="","",T2)</f>
        <v>Наименование тарифа</v>
      </c>
      <c r="BW2" s="1192"/>
      <c r="BX2" s="1192"/>
      <c r="BY2" s="1847">
        <v>0</v>
      </c>
    </row>
    <row customHeight="1" ht="21" hidden="1">
      <c r="A3" s="2055"/>
      <c r="B3" s="2055"/>
      <c r="C3" s="2055"/>
      <c r="D3" s="2055"/>
      <c r="E3" s="2951"/>
      <c r="F3" s="2950">
        <v>1</v>
      </c>
      <c r="G3" s="2055"/>
      <c r="H3" s="2055"/>
      <c r="I3" s="2055"/>
      <c r="J3" s="2055"/>
      <c r="K3" s="2055"/>
      <c r="L3" s="2056"/>
      <c r="M3" s="2057"/>
      <c r="N3" s="2057"/>
      <c r="O3" s="2057"/>
      <c r="P3" s="1996"/>
      <c r="Q3" s="1044"/>
      <c r="R3" s="1045"/>
      <c r="S3" s="2001">
        <f>INDEX(PT_DIFFERENTIATION_NUM_TER,MATCH(B3,PT_DIFFERENTIATION_TER_ID,0))</f>
      </c>
      <c r="T3" s="1000" t="s">
        <v>472</v>
      </c>
      <c r="U3" s="992"/>
      <c r="V3" s="2934"/>
      <c r="W3" s="2935"/>
      <c r="X3" s="2935"/>
      <c r="Y3" s="2935"/>
      <c r="Z3" s="2935"/>
      <c r="AA3" s="2935"/>
      <c r="AB3" s="2935"/>
      <c r="AC3" s="2936"/>
      <c r="AD3" s="2934">
        <f>INDEX(PT_DIFFERENTIATION_TER,MATCH(B3,PT_DIFFERENTIATION_TER_ID,0))</f>
      </c>
      <c r="AE3" s="2935"/>
      <c r="AF3" s="2935"/>
      <c r="AG3" s="2935"/>
      <c r="AH3" s="2935"/>
      <c r="AI3" s="2935"/>
      <c r="AJ3" s="2935"/>
      <c r="AK3" s="2935"/>
      <c r="AL3" s="22958"/>
      <c r="AM3" s="22959"/>
      <c r="AN3" s="22959"/>
      <c r="AO3" s="22959"/>
      <c r="AP3" s="22959"/>
      <c r="AQ3" s="22959"/>
      <c r="AR3" s="22959"/>
      <c r="AS3" s="22960"/>
      <c r="AT3" s="22958"/>
      <c r="AU3" s="22959"/>
      <c r="AV3" s="22959"/>
      <c r="AW3" s="22959"/>
      <c r="AX3" s="22959"/>
      <c r="AY3" s="22959"/>
      <c r="AZ3" s="22959"/>
      <c r="BA3" s="22960"/>
      <c r="BB3" s="22958"/>
      <c r="BC3" s="22959"/>
      <c r="BD3" s="22959"/>
      <c r="BE3" s="22959"/>
      <c r="BF3" s="22959"/>
      <c r="BG3" s="22959"/>
      <c r="BH3" s="22959"/>
      <c r="BI3" s="22960"/>
      <c r="BJ3" s="22958"/>
      <c r="BK3" s="22959"/>
      <c r="BL3" s="22959"/>
      <c r="BM3" s="22959"/>
      <c r="BN3" s="22959"/>
      <c r="BO3" s="22959"/>
      <c r="BP3" s="22959"/>
      <c r="BQ3" s="22960"/>
      <c r="BR3" s="2936"/>
      <c r="BS3" s="1950" t="s">
        <v>473</v>
      </c>
      <c r="BU3" s="1192"/>
      <c r="BV3" s="1192" t="str">
        <f>IF(T3="","",T3)</f>
        <v>Территория действия тарифа</v>
      </c>
      <c r="BW3" s="1192"/>
      <c r="BX3" s="1192"/>
      <c r="BY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001">
        <f>INDEX(PT_DIFFERENTIATION_NUM_CS,MATCH(C4,PT_DIFFERENTIATION_CS_ID,0))</f>
      </c>
      <c r="T4" s="1001" t="s">
        <v>474</v>
      </c>
      <c r="U4" s="992"/>
      <c r="V4" s="2934"/>
      <c r="W4" s="2935"/>
      <c r="X4" s="2935"/>
      <c r="Y4" s="2935"/>
      <c r="Z4" s="2935"/>
      <c r="AA4" s="2935"/>
      <c r="AB4" s="2935"/>
      <c r="AC4" s="2936"/>
      <c r="AD4" s="2934">
        <f>INDEX(PT_DIFFERENTIATION_CS,MATCH(C4,PT_DIFFERENTIATION_CS_ID,0))</f>
      </c>
      <c r="AE4" s="2935"/>
      <c r="AF4" s="2935"/>
      <c r="AG4" s="2935"/>
      <c r="AH4" s="2935"/>
      <c r="AI4" s="2935"/>
      <c r="AJ4" s="2935"/>
      <c r="AK4" s="2935"/>
      <c r="AL4" s="22958"/>
      <c r="AM4" s="22959"/>
      <c r="AN4" s="22959"/>
      <c r="AO4" s="22959"/>
      <c r="AP4" s="22959"/>
      <c r="AQ4" s="22959"/>
      <c r="AR4" s="22959"/>
      <c r="AS4" s="22960"/>
      <c r="AT4" s="22958"/>
      <c r="AU4" s="22959"/>
      <c r="AV4" s="22959"/>
      <c r="AW4" s="22959"/>
      <c r="AX4" s="22959"/>
      <c r="AY4" s="22959"/>
      <c r="AZ4" s="22959"/>
      <c r="BA4" s="22960"/>
      <c r="BB4" s="22958"/>
      <c r="BC4" s="22959"/>
      <c r="BD4" s="22959"/>
      <c r="BE4" s="22959"/>
      <c r="BF4" s="22959"/>
      <c r="BG4" s="22959"/>
      <c r="BH4" s="22959"/>
      <c r="BI4" s="22960"/>
      <c r="BJ4" s="22958"/>
      <c r="BK4" s="22959"/>
      <c r="BL4" s="22959"/>
      <c r="BM4" s="22959"/>
      <c r="BN4" s="22959"/>
      <c r="BO4" s="22959"/>
      <c r="BP4" s="22959"/>
      <c r="BQ4" s="22960"/>
      <c r="BR4" s="2936"/>
      <c r="BS4" s="1950" t="s">
        <v>475</v>
      </c>
      <c r="BU4" s="1192"/>
      <c r="BV4" s="1192" t="str">
        <f>IF(T4="","",T4)</f>
        <v>Наименование системы теплоснабжения </v>
      </c>
      <c r="BW4" s="1192"/>
      <c r="BX4" s="1192"/>
      <c r="BY4" s="1847">
        <v>0</v>
      </c>
    </row>
    <row customHeight="1" ht="21" hidden="1">
      <c r="A5" s="2055"/>
      <c r="B5" s="2055"/>
      <c r="C5" s="2055"/>
      <c r="D5" s="2055"/>
      <c r="E5" s="2951"/>
      <c r="F5" s="2951"/>
      <c r="G5" s="2951"/>
      <c r="H5" s="2950">
        <v>1</v>
      </c>
      <c r="I5" s="2055"/>
      <c r="J5" s="2055"/>
      <c r="K5" s="2055"/>
      <c r="L5" s="2056"/>
      <c r="M5" s="2057"/>
      <c r="N5" s="2057"/>
      <c r="O5" s="2057"/>
      <c r="P5" s="1046"/>
      <c r="Q5" s="1044"/>
      <c r="R5" s="1045"/>
      <c r="S5" s="2001">
        <f>INDEX(PT_DIFFERENTIATION_NUM_IST_TE,MATCH(D5,PT_DIFFERENTIATION_IST_TE_ID,0))</f>
      </c>
      <c r="T5" s="1002" t="s">
        <v>476</v>
      </c>
      <c r="U5" s="992"/>
      <c r="V5" s="2934"/>
      <c r="W5" s="2935"/>
      <c r="X5" s="2935"/>
      <c r="Y5" s="2935"/>
      <c r="Z5" s="2935"/>
      <c r="AA5" s="2935"/>
      <c r="AB5" s="2935"/>
      <c r="AC5" s="2936"/>
      <c r="AD5" s="2934">
        <f>INDEX(PT_DIFFERENTIATION_IST_TE,MATCH(D5,PT_DIFFERENTIATION_IST_TE_ID,0))</f>
      </c>
      <c r="AE5" s="2935"/>
      <c r="AF5" s="2935"/>
      <c r="AG5" s="2935"/>
      <c r="AH5" s="2935"/>
      <c r="AI5" s="2935"/>
      <c r="AJ5" s="2935"/>
      <c r="AK5" s="2935"/>
      <c r="AL5" s="22958"/>
      <c r="AM5" s="22959"/>
      <c r="AN5" s="22959"/>
      <c r="AO5" s="22959"/>
      <c r="AP5" s="22959"/>
      <c r="AQ5" s="22959"/>
      <c r="AR5" s="22959"/>
      <c r="AS5" s="22960"/>
      <c r="AT5" s="22958"/>
      <c r="AU5" s="22959"/>
      <c r="AV5" s="22959"/>
      <c r="AW5" s="22959"/>
      <c r="AX5" s="22959"/>
      <c r="AY5" s="22959"/>
      <c r="AZ5" s="22959"/>
      <c r="BA5" s="22960"/>
      <c r="BB5" s="22958"/>
      <c r="BC5" s="22959"/>
      <c r="BD5" s="22959"/>
      <c r="BE5" s="22959"/>
      <c r="BF5" s="22959"/>
      <c r="BG5" s="22959"/>
      <c r="BH5" s="22959"/>
      <c r="BI5" s="22960"/>
      <c r="BJ5" s="22958"/>
      <c r="BK5" s="22959"/>
      <c r="BL5" s="22959"/>
      <c r="BM5" s="22959"/>
      <c r="BN5" s="22959"/>
      <c r="BO5" s="22959"/>
      <c r="BP5" s="22959"/>
      <c r="BQ5" s="22960"/>
      <c r="BR5" s="2936"/>
      <c r="BS5" s="1950" t="s">
        <v>477</v>
      </c>
      <c r="BU5" s="1192"/>
      <c r="BV5" s="1192" t="str">
        <f>IF(T5="","",T5)</f>
        <v>Источник тепловой энергии  </v>
      </c>
      <c r="BW5" s="1192"/>
      <c r="BX5" s="1192"/>
      <c r="BY5" s="1847">
        <v>0</v>
      </c>
    </row>
    <row customHeight="1" ht="47.25" hidden="1">
      <c r="A6" s="2055"/>
      <c r="B6" s="2055"/>
      <c r="C6" s="2055"/>
      <c r="D6" s="2055"/>
      <c r="E6" s="2951"/>
      <c r="F6" s="2951"/>
      <c r="G6" s="2951"/>
      <c r="H6" s="2951"/>
      <c r="I6" s="2948">
        <f>S5&amp;".1"</f>
      </c>
      <c r="J6" s="2055"/>
      <c r="K6" s="2055"/>
      <c r="L6" s="2056" t="s">
        <v>478</v>
      </c>
      <c r="M6" s="1229"/>
      <c r="P6" s="2949">
        <v>1</v>
      </c>
      <c r="Q6" s="1997"/>
      <c r="R6" s="1048"/>
      <c r="S6" s="2001">
        <f>$I6</f>
      </c>
      <c r="T6" s="977" t="s">
        <v>479</v>
      </c>
      <c r="U6" s="992"/>
      <c r="V6" s="2937"/>
      <c r="W6" s="2938"/>
      <c r="X6" s="2938"/>
      <c r="Y6" s="2938"/>
      <c r="Z6" s="2938"/>
      <c r="AA6" s="2938"/>
      <c r="AB6" s="2938"/>
      <c r="AC6" s="2939"/>
      <c r="AD6" s="2937"/>
      <c r="AE6" s="2938"/>
      <c r="AF6" s="2938"/>
      <c r="AG6" s="2938"/>
      <c r="AH6" s="2938"/>
      <c r="AI6" s="2938"/>
      <c r="AJ6" s="2938"/>
      <c r="AK6" s="2938"/>
      <c r="AL6" s="22979"/>
      <c r="AM6" s="22980"/>
      <c r="AN6" s="22980"/>
      <c r="AO6" s="22980"/>
      <c r="AP6" s="22980"/>
      <c r="AQ6" s="22980"/>
      <c r="AR6" s="22980"/>
      <c r="AS6" s="22981"/>
      <c r="AT6" s="22979"/>
      <c r="AU6" s="22980"/>
      <c r="AV6" s="22980"/>
      <c r="AW6" s="22980"/>
      <c r="AX6" s="22980"/>
      <c r="AY6" s="22980"/>
      <c r="AZ6" s="22980"/>
      <c r="BA6" s="22981"/>
      <c r="BB6" s="22979"/>
      <c r="BC6" s="22980"/>
      <c r="BD6" s="22980"/>
      <c r="BE6" s="22980"/>
      <c r="BF6" s="22980"/>
      <c r="BG6" s="22980"/>
      <c r="BH6" s="22980"/>
      <c r="BI6" s="22981"/>
      <c r="BJ6" s="22979"/>
      <c r="BK6" s="22980"/>
      <c r="BL6" s="22980"/>
      <c r="BM6" s="22980"/>
      <c r="BN6" s="22980"/>
      <c r="BO6" s="22980"/>
      <c r="BP6" s="22980"/>
      <c r="BQ6" s="22981"/>
      <c r="BR6" s="2939"/>
      <c r="BS6" s="1950" t="s">
        <v>480</v>
      </c>
      <c r="BU6" s="1192"/>
      <c r="BV6" s="1192" t="str">
        <f>IF(T6="","",T6)</f>
        <v>Схема подключения теплопотребляющей установки к коллектору источника тепловой энергии</v>
      </c>
      <c r="BW6" s="1192"/>
      <c r="BX6" s="1192"/>
      <c r="BY6" s="1847">
        <v>0</v>
      </c>
    </row>
    <row customHeight="1" ht="21" hidden="1">
      <c r="A7" s="2055"/>
      <c r="B7" s="2055"/>
      <c r="C7" s="2055"/>
      <c r="D7" s="2055"/>
      <c r="E7" s="2951"/>
      <c r="F7" s="2951"/>
      <c r="G7" s="2951"/>
      <c r="H7" s="2951"/>
      <c r="I7" s="2978"/>
      <c r="J7" s="2948">
        <f>I6&amp;".1"</f>
      </c>
      <c r="K7" s="2055"/>
      <c r="L7" s="2056" t="s">
        <v>481</v>
      </c>
      <c r="M7" s="1229"/>
      <c r="N7" s="2058"/>
      <c r="P7" s="2949"/>
      <c r="Q7" s="2949">
        <v>1</v>
      </c>
      <c r="R7" s="1049"/>
      <c r="S7" s="2001">
        <f>$J7</f>
      </c>
      <c r="T7" s="978" t="s">
        <v>482</v>
      </c>
      <c r="U7" s="992"/>
      <c r="V7" s="2937"/>
      <c r="W7" s="2938"/>
      <c r="X7" s="2938"/>
      <c r="Y7" s="2938"/>
      <c r="Z7" s="2938"/>
      <c r="AA7" s="2938"/>
      <c r="AB7" s="2938"/>
      <c r="AC7" s="2939"/>
      <c r="AD7" s="2937"/>
      <c r="AE7" s="2938"/>
      <c r="AF7" s="2938"/>
      <c r="AG7" s="2938"/>
      <c r="AH7" s="2938"/>
      <c r="AI7" s="2938"/>
      <c r="AJ7" s="2938"/>
      <c r="AK7" s="2938"/>
      <c r="AL7" s="22979"/>
      <c r="AM7" s="22980"/>
      <c r="AN7" s="22980"/>
      <c r="AO7" s="22980"/>
      <c r="AP7" s="22980"/>
      <c r="AQ7" s="22980"/>
      <c r="AR7" s="22980"/>
      <c r="AS7" s="22981"/>
      <c r="AT7" s="22979"/>
      <c r="AU7" s="22980"/>
      <c r="AV7" s="22980"/>
      <c r="AW7" s="22980"/>
      <c r="AX7" s="22980"/>
      <c r="AY7" s="22980"/>
      <c r="AZ7" s="22980"/>
      <c r="BA7" s="22981"/>
      <c r="BB7" s="22979"/>
      <c r="BC7" s="22980"/>
      <c r="BD7" s="22980"/>
      <c r="BE7" s="22980"/>
      <c r="BF7" s="22980"/>
      <c r="BG7" s="22980"/>
      <c r="BH7" s="22980"/>
      <c r="BI7" s="22981"/>
      <c r="BJ7" s="22979"/>
      <c r="BK7" s="22980"/>
      <c r="BL7" s="22980"/>
      <c r="BM7" s="22980"/>
      <c r="BN7" s="22980"/>
      <c r="BO7" s="22980"/>
      <c r="BP7" s="22980"/>
      <c r="BQ7" s="22981"/>
      <c r="BR7" s="2939"/>
      <c r="BS7" s="1950" t="s">
        <v>483</v>
      </c>
      <c r="BU7" s="1192"/>
      <c r="BV7" s="1192" t="str">
        <f>IF(T7="","",T7)</f>
        <v>Группа потребителей</v>
      </c>
      <c r="BW7" s="1192"/>
      <c r="BX7" s="1192"/>
      <c r="BY7" s="1847">
        <v>0</v>
      </c>
    </row>
    <row customHeight="1" ht="21" hidden="1">
      <c r="A8" s="2055"/>
      <c r="B8" s="2055"/>
      <c r="C8" s="2055"/>
      <c r="D8" s="2055"/>
      <c r="E8" s="2951"/>
      <c r="F8" s="2951"/>
      <c r="G8" s="2951"/>
      <c r="H8" s="2951"/>
      <c r="I8" s="2978"/>
      <c r="J8" s="2978"/>
      <c r="K8" s="2948">
        <f>J7&amp;".1"</f>
      </c>
      <c r="L8" s="2056" t="s">
        <v>484</v>
      </c>
      <c r="M8" s="1229"/>
      <c r="N8" s="2058"/>
      <c r="O8" s="2058"/>
      <c r="P8" s="2949"/>
      <c r="Q8" s="2949"/>
      <c r="R8" s="1049">
        <v>1</v>
      </c>
      <c r="S8" s="2001">
        <f>$K8</f>
      </c>
      <c r="T8" s="2039"/>
      <c r="U8" s="992"/>
      <c r="V8" s="1443"/>
      <c r="W8" s="1017"/>
      <c r="X8" s="1443"/>
      <c r="Y8" s="1949"/>
      <c r="Z8" s="2957"/>
      <c r="AA8" s="2799" t="s">
        <v>67</v>
      </c>
      <c r="AB8" s="2957"/>
      <c r="AC8" s="2799" t="s">
        <v>67</v>
      </c>
      <c r="AD8" s="1443"/>
      <c r="AE8" s="1017"/>
      <c r="AF8" s="1443"/>
      <c r="AG8" s="1949"/>
      <c r="AH8" s="2957"/>
      <c r="AI8" s="2799" t="s">
        <v>67</v>
      </c>
      <c r="AJ8" s="2957"/>
      <c r="AK8" s="2799" t="s">
        <v>67</v>
      </c>
      <c r="AL8" s="22991"/>
      <c r="AM8" s="22992"/>
      <c r="AN8" s="22991"/>
      <c r="AO8" s="22993"/>
      <c r="AP8" s="22994"/>
      <c r="AQ8" s="22349" t="s">
        <v>67</v>
      </c>
      <c r="AR8" s="22994"/>
      <c r="AS8" s="22349" t="s">
        <v>67</v>
      </c>
      <c r="AT8" s="22991"/>
      <c r="AU8" s="22992"/>
      <c r="AV8" s="22991"/>
      <c r="AW8" s="22993"/>
      <c r="AX8" s="22994"/>
      <c r="AY8" s="22349" t="s">
        <v>67</v>
      </c>
      <c r="AZ8" s="22994"/>
      <c r="BA8" s="22349" t="s">
        <v>67</v>
      </c>
      <c r="BB8" s="22991"/>
      <c r="BC8" s="22992"/>
      <c r="BD8" s="22991"/>
      <c r="BE8" s="22993"/>
      <c r="BF8" s="22994"/>
      <c r="BG8" s="22349" t="s">
        <v>67</v>
      </c>
      <c r="BH8" s="22994"/>
      <c r="BI8" s="22349" t="s">
        <v>67</v>
      </c>
      <c r="BJ8" s="22991"/>
      <c r="BK8" s="22992"/>
      <c r="BL8" s="22991"/>
      <c r="BM8" s="22993"/>
      <c r="BN8" s="22994"/>
      <c r="BO8" s="22349" t="s">
        <v>67</v>
      </c>
      <c r="BP8" s="22994"/>
      <c r="BQ8" s="22349" t="s">
        <v>67</v>
      </c>
      <c r="BR8" s="1017"/>
      <c r="BS8" s="2945" t="s">
        <v>485</v>
      </c>
      <c r="BT8" s="1203">
        <f>STRCHECKDATE(V9:BR9)</f>
      </c>
      <c r="BU8" s="1192"/>
      <c r="BV8" s="1192" t="str">
        <f>IF(T8="","",T8)</f>
        <v/>
      </c>
      <c r="BW8" s="1192"/>
      <c r="BX8" s="1192"/>
      <c r="BY8" s="1847">
        <v>0</v>
      </c>
    </row>
    <row customHeight="1" ht="0.75" hidden="1">
      <c r="A9" s="2055"/>
      <c r="B9" s="2055"/>
      <c r="C9" s="2055"/>
      <c r="D9" s="2055"/>
      <c r="E9" s="2951"/>
      <c r="F9" s="2951"/>
      <c r="G9" s="2951"/>
      <c r="H9" s="2951"/>
      <c r="I9" s="2978"/>
      <c r="J9" s="2978"/>
      <c r="K9" s="2948"/>
      <c r="L9" s="2056"/>
      <c r="M9" s="1229"/>
      <c r="N9" s="2058"/>
      <c r="O9" s="2058"/>
      <c r="P9" s="2949"/>
      <c r="Q9" s="2949"/>
      <c r="R9" s="1049"/>
      <c r="S9" s="1998"/>
      <c r="T9" s="992"/>
      <c r="U9" s="992"/>
      <c r="V9" s="1017"/>
      <c r="W9" s="1017"/>
      <c r="X9" s="1017"/>
      <c r="Y9" s="1020" t="str">
        <f>Z8&amp;"-"&amp;AB8</f>
        <v>-</v>
      </c>
      <c r="Z9" s="2958"/>
      <c r="AA9" s="2799"/>
      <c r="AB9" s="2958"/>
      <c r="AC9" s="2799"/>
      <c r="AD9" s="1017"/>
      <c r="AE9" s="1017"/>
      <c r="AF9" s="1017"/>
      <c r="AG9" s="1020" t="str">
        <f>AH8&amp;"-"&amp;AJ8</f>
        <v>-</v>
      </c>
      <c r="AH9" s="2958"/>
      <c r="AI9" s="2799"/>
      <c r="AJ9" s="2958"/>
      <c r="AK9" s="2799"/>
      <c r="AL9" s="22992"/>
      <c r="AM9" s="22992"/>
      <c r="AN9" s="22992"/>
      <c r="AO9" s="22999" t="str">
        <f>AP8&amp;"-"&amp;AR8</f>
        <v>-</v>
      </c>
      <c r="AP9" s="23000"/>
      <c r="AQ9" s="22349"/>
      <c r="AR9" s="23000"/>
      <c r="AS9" s="22349"/>
      <c r="AT9" s="22992"/>
      <c r="AU9" s="22992"/>
      <c r="AV9" s="22992"/>
      <c r="AW9" s="22999" t="str">
        <f>AX8&amp;"-"&amp;AZ8</f>
        <v>-</v>
      </c>
      <c r="AX9" s="23000"/>
      <c r="AY9" s="22349"/>
      <c r="AZ9" s="23000"/>
      <c r="BA9" s="22349"/>
      <c r="BB9" s="22992"/>
      <c r="BC9" s="22992"/>
      <c r="BD9" s="22992"/>
      <c r="BE9" s="22999" t="str">
        <f>BF8&amp;"-"&amp;BH8</f>
        <v>-</v>
      </c>
      <c r="BF9" s="23000"/>
      <c r="BG9" s="22349"/>
      <c r="BH9" s="23000"/>
      <c r="BI9" s="22349"/>
      <c r="BJ9" s="22992"/>
      <c r="BK9" s="22992"/>
      <c r="BL9" s="22992"/>
      <c r="BM9" s="22999" t="str">
        <f>BN8&amp;"-"&amp;BP8</f>
        <v>-</v>
      </c>
      <c r="BN9" s="23000"/>
      <c r="BO9" s="22349"/>
      <c r="BP9" s="23000"/>
      <c r="BQ9" s="22349"/>
      <c r="BR9" s="1017"/>
      <c r="BS9" s="2946"/>
      <c r="BU9" s="1192"/>
      <c r="BV9" s="1192" t="str">
        <f>IF(T9="","",T9)</f>
        <v/>
      </c>
      <c r="BW9" s="1192"/>
      <c r="BX9" s="1192"/>
      <c r="BY9" s="1847">
        <v>0</v>
      </c>
    </row>
    <row customHeight="1" ht="15" hidden="1">
      <c r="A10" s="2055"/>
      <c r="B10" s="2055"/>
      <c r="C10" s="2055"/>
      <c r="D10" s="2055"/>
      <c r="E10" s="2951"/>
      <c r="F10" s="2951"/>
      <c r="G10" s="2951"/>
      <c r="H10" s="2951"/>
      <c r="I10" s="2978"/>
      <c r="J10" s="2948"/>
      <c r="K10" s="2055"/>
      <c r="L10" s="2056"/>
      <c r="M10" s="1229"/>
      <c r="N10" s="2058"/>
      <c r="P10" s="2949"/>
      <c r="Q10" s="2949"/>
      <c r="R10" s="1048"/>
      <c r="S10" s="1970"/>
      <c r="T10" s="980" t="s">
        <v>486</v>
      </c>
      <c r="U10" s="1059"/>
      <c r="V10" s="1059"/>
      <c r="W10" s="1059"/>
      <c r="X10" s="1059"/>
      <c r="Y10" s="1059"/>
      <c r="Z10" s="1059"/>
      <c r="AA10" s="1059"/>
      <c r="AB10" s="1059"/>
      <c r="AC10" s="1059"/>
      <c r="AD10" s="1059"/>
      <c r="AE10" s="1059"/>
      <c r="AF10" s="1059"/>
      <c r="AG10" s="1059"/>
      <c r="AH10" s="1059"/>
      <c r="AI10" s="1059"/>
      <c r="AJ10" s="1059"/>
      <c r="AK10" s="1059"/>
      <c r="AL10" s="23004"/>
      <c r="AM10" s="23005"/>
      <c r="AN10" s="23006"/>
      <c r="AO10" s="23007"/>
      <c r="AP10" s="23008"/>
      <c r="AQ10" s="23009"/>
      <c r="AR10" s="23010"/>
      <c r="AS10" s="23011"/>
      <c r="AT10" s="23012"/>
      <c r="AU10" s="23013"/>
      <c r="AV10" s="23014"/>
      <c r="AW10" s="23015"/>
      <c r="AX10" s="23016"/>
      <c r="AY10" s="23017"/>
      <c r="AZ10" s="23018"/>
      <c r="BA10" s="23019"/>
      <c r="BB10" s="23020"/>
      <c r="BC10" s="23021"/>
      <c r="BD10" s="23022"/>
      <c r="BE10" s="23023"/>
      <c r="BF10" s="23024"/>
      <c r="BG10" s="23025"/>
      <c r="BH10" s="23026"/>
      <c r="BI10" s="23027"/>
      <c r="BJ10" s="23028"/>
      <c r="BK10" s="23029"/>
      <c r="BL10" s="23030"/>
      <c r="BM10" s="23031"/>
      <c r="BN10" s="23032"/>
      <c r="BO10" s="23033"/>
      <c r="BP10" s="23034"/>
      <c r="BQ10" s="23035"/>
      <c r="BR10" s="1016"/>
      <c r="BS10" s="2947"/>
      <c r="BU10" s="1192"/>
      <c r="BV10" s="1192" t="str">
        <f>IF(T10="","",T10)</f>
        <v>Добавить вид теплоносителя (параметры теплоносителя)</v>
      </c>
      <c r="BW10" s="1192"/>
      <c r="BX10" s="1192"/>
      <c r="BY10" s="1847">
        <v>0</v>
      </c>
    </row>
    <row customHeight="1" ht="15" hidden="1">
      <c r="A11" s="2055"/>
      <c r="B11" s="2055"/>
      <c r="C11" s="2055"/>
      <c r="D11" s="2055"/>
      <c r="E11" s="2951"/>
      <c r="F11" s="2951"/>
      <c r="G11" s="2951"/>
      <c r="H11" s="2951"/>
      <c r="I11" s="2948"/>
      <c r="J11" s="2055"/>
      <c r="K11" s="2055"/>
      <c r="L11" s="2056"/>
      <c r="M11" s="1229"/>
      <c r="P11" s="2949"/>
      <c r="Q11" s="1997"/>
      <c r="R11" s="1048"/>
      <c r="S11" s="1970"/>
      <c r="T11" s="979" t="s">
        <v>487</v>
      </c>
      <c r="U11" s="1059"/>
      <c r="V11" s="1059"/>
      <c r="W11" s="1059"/>
      <c r="X11" s="1059"/>
      <c r="Y11" s="1059"/>
      <c r="Z11" s="1059"/>
      <c r="AA11" s="1059"/>
      <c r="AB11" s="1059"/>
      <c r="AC11" s="1058"/>
      <c r="AD11" s="1059"/>
      <c r="AE11" s="1059"/>
      <c r="AF11" s="1059"/>
      <c r="AG11" s="1059"/>
      <c r="AH11" s="1059"/>
      <c r="AI11" s="1059"/>
      <c r="AJ11" s="1059"/>
      <c r="AK11" s="1058"/>
      <c r="AL11" s="23040"/>
      <c r="AM11" s="23041"/>
      <c r="AN11" s="23042"/>
      <c r="AO11" s="23043"/>
      <c r="AP11" s="23044"/>
      <c r="AQ11" s="23045"/>
      <c r="AR11" s="23046"/>
      <c r="AS11" s="23047"/>
      <c r="AT11" s="23048"/>
      <c r="AU11" s="23049"/>
      <c r="AV11" s="23050"/>
      <c r="AW11" s="23051"/>
      <c r="AX11" s="23052"/>
      <c r="AY11" s="23053"/>
      <c r="AZ11" s="23054"/>
      <c r="BA11" s="23055"/>
      <c r="BB11" s="23056"/>
      <c r="BC11" s="23057"/>
      <c r="BD11" s="23058"/>
      <c r="BE11" s="23059"/>
      <c r="BF11" s="23060"/>
      <c r="BG11" s="23061"/>
      <c r="BH11" s="23062"/>
      <c r="BI11" s="23063"/>
      <c r="BJ11" s="23064"/>
      <c r="BK11" s="23065"/>
      <c r="BL11" s="23066"/>
      <c r="BM11" s="23067"/>
      <c r="BN11" s="23068"/>
      <c r="BO11" s="23069"/>
      <c r="BP11" s="23070"/>
      <c r="BQ11" s="23071"/>
      <c r="BR11" s="1059"/>
      <c r="BS11" s="995"/>
      <c r="BU11" s="1192"/>
      <c r="BV11" s="1192" t="str">
        <f>IF(T11="","",T11)</f>
        <v>Добавить группу потребителей</v>
      </c>
      <c r="BW11" s="1192"/>
      <c r="BX11" s="1192"/>
      <c r="BY11" s="1847">
        <v>0</v>
      </c>
    </row>
    <row customHeight="1" ht="14.25" hidden="1">
      <c r="A12" s="2055"/>
      <c r="B12" s="2055"/>
      <c r="C12" s="2055"/>
      <c r="D12" s="2055"/>
      <c r="E12" s="2951"/>
      <c r="F12" s="2951"/>
      <c r="G12" s="2951"/>
      <c r="H12" s="2950"/>
      <c r="I12" s="2055"/>
      <c r="J12" s="2055"/>
      <c r="K12" s="2055"/>
      <c r="L12" s="2056"/>
      <c r="M12" s="2057"/>
      <c r="N12" s="2057"/>
      <c r="O12" s="1229"/>
      <c r="P12" s="1052"/>
      <c r="Q12" s="1067"/>
      <c r="R12" s="1047"/>
      <c r="S12" s="1970"/>
      <c r="T12" s="1057" t="s">
        <v>488</v>
      </c>
      <c r="U12" s="1059"/>
      <c r="V12" s="1059"/>
      <c r="W12" s="1059"/>
      <c r="X12" s="1059"/>
      <c r="Y12" s="1059"/>
      <c r="Z12" s="1059"/>
      <c r="AA12" s="1059"/>
      <c r="AB12" s="1059"/>
      <c r="AC12" s="1058"/>
      <c r="AD12" s="1059"/>
      <c r="AE12" s="1059"/>
      <c r="AF12" s="1059"/>
      <c r="AG12" s="1059"/>
      <c r="AH12" s="1059"/>
      <c r="AI12" s="1059"/>
      <c r="AJ12" s="1059"/>
      <c r="AK12" s="1058"/>
      <c r="AL12" s="23075"/>
      <c r="AM12" s="23076"/>
      <c r="AN12" s="23077"/>
      <c r="AO12" s="23078"/>
      <c r="AP12" s="23079"/>
      <c r="AQ12" s="23080"/>
      <c r="AR12" s="23081"/>
      <c r="AS12" s="23082"/>
      <c r="AT12" s="23083"/>
      <c r="AU12" s="23084"/>
      <c r="AV12" s="23085"/>
      <c r="AW12" s="23086"/>
      <c r="AX12" s="23087"/>
      <c r="AY12" s="23088"/>
      <c r="AZ12" s="23089"/>
      <c r="BA12" s="23090"/>
      <c r="BB12" s="23091"/>
      <c r="BC12" s="23092"/>
      <c r="BD12" s="23093"/>
      <c r="BE12" s="23094"/>
      <c r="BF12" s="23095"/>
      <c r="BG12" s="23096"/>
      <c r="BH12" s="23097"/>
      <c r="BI12" s="23098"/>
      <c r="BJ12" s="23099"/>
      <c r="BK12" s="23100"/>
      <c r="BL12" s="23101"/>
      <c r="BM12" s="23102"/>
      <c r="BN12" s="23103"/>
      <c r="BO12" s="23104"/>
      <c r="BP12" s="23105"/>
      <c r="BQ12" s="23106"/>
      <c r="BR12" s="1059"/>
      <c r="BS12" s="995"/>
      <c r="BU12" s="1192"/>
      <c r="BV12" s="1192" t="str">
        <f>IF(T12="","",T12)</f>
        <v>Добавить схему подключения</v>
      </c>
      <c r="BW12" s="1192"/>
      <c r="BX12" s="1192"/>
      <c r="BY12" s="1847">
        <v>0</v>
      </c>
    </row>
    <row s="61695" customFormat="1" customHeight="1" ht="0.75" hidden="1">
      <c r="A13" s="2006"/>
      <c r="B13" s="2006"/>
      <c r="C13" s="2006"/>
      <c r="D13" s="2006"/>
      <c r="E13" s="2951"/>
      <c r="F13" s="2951"/>
      <c r="G13" s="2950"/>
      <c r="H13" s="2006"/>
      <c r="I13" s="2006"/>
      <c r="J13" s="2006"/>
      <c r="K13" s="2006"/>
      <c r="L13" s="2031"/>
      <c r="M13" s="2007"/>
      <c r="N13" s="2007"/>
      <c r="P13" s="2008"/>
      <c r="Q13" s="2009"/>
      <c r="R13" s="2008"/>
      <c r="S13" s="2010"/>
      <c r="T13" s="2011" t="s">
        <v>171</v>
      </c>
      <c r="U13" s="2012"/>
      <c r="V13" s="2012"/>
      <c r="W13" s="2012"/>
      <c r="X13" s="2012"/>
      <c r="Y13" s="2012"/>
      <c r="Z13" s="2012"/>
      <c r="AA13" s="2012"/>
      <c r="AB13" s="2012"/>
      <c r="AC13" s="2012"/>
      <c r="AD13" s="2012"/>
      <c r="AE13" s="2012"/>
      <c r="AF13" s="2012"/>
      <c r="AG13" s="2012"/>
      <c r="AH13" s="2012"/>
      <c r="AI13" s="2012"/>
      <c r="AJ13" s="2012"/>
      <c r="AK13" s="2012"/>
      <c r="AL13" s="23115"/>
      <c r="AM13" s="23115"/>
      <c r="AN13" s="23115"/>
      <c r="AO13" s="23115"/>
      <c r="AP13" s="23115"/>
      <c r="AQ13" s="23115"/>
      <c r="AR13" s="23115"/>
      <c r="AS13" s="23115"/>
      <c r="AT13" s="23115"/>
      <c r="AU13" s="23115"/>
      <c r="AV13" s="23115"/>
      <c r="AW13" s="23115"/>
      <c r="AX13" s="23115"/>
      <c r="AY13" s="23115"/>
      <c r="AZ13" s="23115"/>
      <c r="BA13" s="23115"/>
      <c r="BB13" s="23115"/>
      <c r="BC13" s="23115"/>
      <c r="BD13" s="23115"/>
      <c r="BE13" s="23115"/>
      <c r="BF13" s="23115"/>
      <c r="BG13" s="23115"/>
      <c r="BH13" s="23115"/>
      <c r="BI13" s="23115"/>
      <c r="BJ13" s="23115"/>
      <c r="BK13" s="23115"/>
      <c r="BL13" s="23115"/>
      <c r="BM13" s="23115"/>
      <c r="BN13" s="23115"/>
      <c r="BO13" s="23115"/>
      <c r="BP13" s="23115"/>
      <c r="BQ13" s="23115"/>
      <c r="BR13" s="2012"/>
      <c r="BS13" s="2012"/>
      <c r="BU13" s="1481"/>
      <c r="BV13" s="1481" t="str">
        <f>IF(T13="","",T13)</f>
        <v>Добавить источник для дифференциации</v>
      </c>
      <c r="BW13" s="1481"/>
      <c r="BX13" s="1481"/>
      <c r="BY13" s="1210">
        <v>0</v>
      </c>
    </row>
    <row s="61695" customFormat="1" customHeight="1" ht="0.75" hidden="1">
      <c r="A14" s="2006"/>
      <c r="B14" s="2006"/>
      <c r="C14" s="2006"/>
      <c r="D14" s="2006"/>
      <c r="E14" s="2951"/>
      <c r="F14" s="2950"/>
      <c r="G14" s="2006"/>
      <c r="H14" s="2006"/>
      <c r="I14" s="2006"/>
      <c r="J14" s="2006"/>
      <c r="K14" s="2006"/>
      <c r="L14" s="2031"/>
      <c r="M14" s="2013"/>
      <c r="N14" s="2013"/>
      <c r="P14" s="2008"/>
      <c r="Q14" s="2009"/>
      <c r="R14" s="2008"/>
      <c r="S14" s="2014"/>
      <c r="T14" s="2015" t="s">
        <v>172</v>
      </c>
      <c r="U14" s="2016"/>
      <c r="V14" s="2016"/>
      <c r="W14" s="2016"/>
      <c r="X14" s="2016"/>
      <c r="Y14" s="2016"/>
      <c r="Z14" s="2016"/>
      <c r="AA14" s="2016"/>
      <c r="AB14" s="2016"/>
      <c r="AC14" s="2016"/>
      <c r="AD14" s="2016"/>
      <c r="AE14" s="2016"/>
      <c r="AF14" s="2016"/>
      <c r="AG14" s="2016"/>
      <c r="AH14" s="2016"/>
      <c r="AI14" s="2016"/>
      <c r="AJ14" s="2016"/>
      <c r="AK14" s="2016"/>
      <c r="AL14" s="23121"/>
      <c r="AM14" s="23121"/>
      <c r="AN14" s="23121"/>
      <c r="AO14" s="23121"/>
      <c r="AP14" s="23121"/>
      <c r="AQ14" s="23121"/>
      <c r="AR14" s="23121"/>
      <c r="AS14" s="23121"/>
      <c r="AT14" s="23121"/>
      <c r="AU14" s="23121"/>
      <c r="AV14" s="23121"/>
      <c r="AW14" s="23121"/>
      <c r="AX14" s="23121"/>
      <c r="AY14" s="23121"/>
      <c r="AZ14" s="23121"/>
      <c r="BA14" s="23121"/>
      <c r="BB14" s="23121"/>
      <c r="BC14" s="23121"/>
      <c r="BD14" s="23121"/>
      <c r="BE14" s="23121"/>
      <c r="BF14" s="23121"/>
      <c r="BG14" s="23121"/>
      <c r="BH14" s="23121"/>
      <c r="BI14" s="23121"/>
      <c r="BJ14" s="23121"/>
      <c r="BK14" s="23121"/>
      <c r="BL14" s="23121"/>
      <c r="BM14" s="23121"/>
      <c r="BN14" s="23121"/>
      <c r="BO14" s="23121"/>
      <c r="BP14" s="23121"/>
      <c r="BQ14" s="23121"/>
      <c r="BR14" s="2016"/>
      <c r="BS14" s="2016"/>
      <c r="BU14" s="1481"/>
      <c r="BV14" s="1481" t="str">
        <f>IF(T14="","",T14)</f>
        <v>Добавить централизованную систему для дифференциации</v>
      </c>
      <c r="BW14" s="1481"/>
      <c r="BX14" s="1481"/>
      <c r="BY14" s="1210">
        <v>0</v>
      </c>
    </row>
    <row s="61695" customFormat="1" customHeight="1" ht="0.75" hidden="1">
      <c r="A15" s="2006"/>
      <c r="B15" s="2006"/>
      <c r="C15" s="2006"/>
      <c r="D15" s="2006"/>
      <c r="E15" s="2950"/>
      <c r="F15" s="2006"/>
      <c r="G15" s="2006"/>
      <c r="H15" s="2006"/>
      <c r="I15" s="2006"/>
      <c r="J15" s="2006"/>
      <c r="K15" s="2006"/>
      <c r="L15" s="2031"/>
      <c r="M15" s="2013"/>
      <c r="N15" s="2013"/>
      <c r="P15" s="2008"/>
      <c r="Q15" s="2009"/>
      <c r="R15" s="2008"/>
      <c r="S15" s="2014"/>
      <c r="T15" s="2017" t="s">
        <v>173</v>
      </c>
      <c r="U15" s="2016"/>
      <c r="V15" s="2016"/>
      <c r="W15" s="2016"/>
      <c r="X15" s="2016"/>
      <c r="Y15" s="2016"/>
      <c r="Z15" s="2016"/>
      <c r="AA15" s="2016"/>
      <c r="AB15" s="2016"/>
      <c r="AC15" s="2016"/>
      <c r="AD15" s="2016"/>
      <c r="AE15" s="2016"/>
      <c r="AF15" s="2016"/>
      <c r="AG15" s="2016"/>
      <c r="AH15" s="2016"/>
      <c r="AI15" s="2016"/>
      <c r="AJ15" s="2016"/>
      <c r="AK15" s="2016"/>
      <c r="AL15" s="23121"/>
      <c r="AM15" s="23121"/>
      <c r="AN15" s="23121"/>
      <c r="AO15" s="23121"/>
      <c r="AP15" s="23121"/>
      <c r="AQ15" s="23121"/>
      <c r="AR15" s="23121"/>
      <c r="AS15" s="23121"/>
      <c r="AT15" s="23121"/>
      <c r="AU15" s="23121"/>
      <c r="AV15" s="23121"/>
      <c r="AW15" s="23121"/>
      <c r="AX15" s="23121"/>
      <c r="AY15" s="23121"/>
      <c r="AZ15" s="23121"/>
      <c r="BA15" s="23121"/>
      <c r="BB15" s="23121"/>
      <c r="BC15" s="23121"/>
      <c r="BD15" s="23121"/>
      <c r="BE15" s="23121"/>
      <c r="BF15" s="23121"/>
      <c r="BG15" s="23121"/>
      <c r="BH15" s="23121"/>
      <c r="BI15" s="23121"/>
      <c r="BJ15" s="23121"/>
      <c r="BK15" s="23121"/>
      <c r="BL15" s="23121"/>
      <c r="BM15" s="23121"/>
      <c r="BN15" s="23121"/>
      <c r="BO15" s="23121"/>
      <c r="BP15" s="23121"/>
      <c r="BQ15" s="23121"/>
      <c r="BR15" s="2016"/>
      <c r="BS15" s="2016"/>
      <c r="BU15" s="1481"/>
      <c r="BV15" s="1481" t="str">
        <f>IF(T15="","",T15)</f>
        <v>Добавить территорию для дифференциации</v>
      </c>
      <c r="BW15" s="1481"/>
      <c r="BX15" s="1481"/>
      <c r="BY15" s="1210">
        <v>0</v>
      </c>
    </row>
    <row customHeight="1" ht="14.25" hidden="1">
      <c r="AC16" s="1019"/>
      <c r="AK16" s="1019"/>
      <c r="AL16" s="22944"/>
      <c r="AM16" s="22944"/>
      <c r="AN16" s="22944"/>
      <c r="AO16" s="22944"/>
      <c r="AP16" s="22944"/>
      <c r="AQ16" s="22944"/>
      <c r="AR16" s="22944"/>
      <c r="AS16" s="22944"/>
      <c r="AT16" s="22944"/>
      <c r="AU16" s="22944"/>
      <c r="AV16" s="22944"/>
      <c r="AW16" s="22944"/>
      <c r="AX16" s="22944"/>
      <c r="AY16" s="22944"/>
      <c r="AZ16" s="22944"/>
      <c r="BA16" s="22944"/>
      <c r="BB16" s="22944"/>
      <c r="BC16" s="22944"/>
      <c r="BD16" s="22944"/>
      <c r="BE16" s="22944"/>
      <c r="BF16" s="22944"/>
      <c r="BG16" s="22944"/>
      <c r="BH16" s="22944"/>
      <c r="BI16" s="22944"/>
      <c r="BJ16" s="22944"/>
      <c r="BK16" s="22944"/>
      <c r="BL16" s="22944"/>
      <c r="BM16" s="22944"/>
      <c r="BN16" s="22944"/>
      <c r="BO16" s="22944"/>
      <c r="BP16" s="22944"/>
      <c r="BQ16" s="22944"/>
      <c r="BY16" s="1847">
        <v>0</v>
      </c>
    </row>
    <row customHeight="1" ht="14.25" hidden="1">
      <c r="P17" s="2003"/>
      <c r="AD17" s="2052"/>
      <c r="AE17" s="2052"/>
      <c r="AF17" s="2052"/>
      <c r="AG17" s="2053"/>
      <c r="AH17" s="2959"/>
      <c r="AI17" s="2960" t="s">
        <v>67</v>
      </c>
      <c r="AJ17" s="2959"/>
      <c r="AK17" s="2960" t="s">
        <v>67</v>
      </c>
      <c r="AL17" s="22944"/>
      <c r="AM17" s="22944"/>
      <c r="AN17" s="22944"/>
      <c r="AO17" s="22944"/>
      <c r="AP17" s="22944"/>
      <c r="AQ17" s="22944"/>
      <c r="AR17" s="22944"/>
      <c r="AS17" s="22944"/>
      <c r="AT17" s="22944"/>
      <c r="AU17" s="22944"/>
      <c r="AV17" s="22944"/>
      <c r="AW17" s="22944"/>
      <c r="AX17" s="22944"/>
      <c r="AY17" s="22944"/>
      <c r="AZ17" s="22944"/>
      <c r="BA17" s="22944"/>
      <c r="BB17" s="22944"/>
      <c r="BC17" s="22944"/>
      <c r="BD17" s="22944"/>
      <c r="BE17" s="22944"/>
      <c r="BF17" s="22944"/>
      <c r="BG17" s="22944"/>
      <c r="BH17" s="22944"/>
      <c r="BI17" s="22944"/>
      <c r="BJ17" s="22944"/>
      <c r="BK17" s="22944"/>
      <c r="BL17" s="22944"/>
      <c r="BM17" s="22944"/>
      <c r="BN17" s="22944"/>
      <c r="BO17" s="22944"/>
      <c r="BP17" s="22944"/>
      <c r="BQ17" s="22944"/>
      <c r="BY17" s="1847">
        <v>0</v>
      </c>
    </row>
    <row customHeight="1" ht="14.25" hidden="1">
      <c r="P18" s="2003"/>
      <c r="AD18" s="2052"/>
      <c r="AE18" s="2052"/>
      <c r="AF18" s="2052"/>
      <c r="AG18" s="1020" t="str">
        <f>AH17&amp;"-"&amp;AJ17</f>
        <v>-</v>
      </c>
      <c r="AH18" s="2960"/>
      <c r="AI18" s="2960"/>
      <c r="AJ18" s="2960"/>
      <c r="AK18" s="2960"/>
      <c r="AL18" s="22944"/>
      <c r="AM18" s="22944"/>
      <c r="AN18" s="22944"/>
      <c r="AO18" s="22944"/>
      <c r="AP18" s="22944"/>
      <c r="AQ18" s="22944"/>
      <c r="AR18" s="22944"/>
      <c r="AS18" s="22944"/>
      <c r="AT18" s="22944"/>
      <c r="AU18" s="22944"/>
      <c r="AV18" s="22944"/>
      <c r="AW18" s="22944"/>
      <c r="AX18" s="22944"/>
      <c r="AY18" s="22944"/>
      <c r="AZ18" s="22944"/>
      <c r="BA18" s="22944"/>
      <c r="BB18" s="22944"/>
      <c r="BC18" s="22944"/>
      <c r="BD18" s="22944"/>
      <c r="BE18" s="22944"/>
      <c r="BF18" s="22944"/>
      <c r="BG18" s="22944"/>
      <c r="BH18" s="22944"/>
      <c r="BI18" s="22944"/>
      <c r="BJ18" s="22944"/>
      <c r="BK18" s="22944"/>
      <c r="BL18" s="22944"/>
      <c r="BM18" s="22944"/>
      <c r="BN18" s="22944"/>
      <c r="BO18" s="22944"/>
      <c r="BP18" s="22944"/>
      <c r="BQ18" s="22944"/>
      <c r="BY18" s="1847">
        <v>0</v>
      </c>
    </row>
    <row customHeight="1" ht="14.25" hidden="1">
      <c r="P19" s="2003"/>
      <c r="AK19" s="1019"/>
      <c r="AL19" s="22944"/>
      <c r="AM19" s="22944"/>
      <c r="AN19" s="22944"/>
      <c r="AO19" s="22944"/>
      <c r="AP19" s="22944"/>
      <c r="AQ19" s="22944"/>
      <c r="AR19" s="22944"/>
      <c r="AS19" s="22944"/>
      <c r="AT19" s="22944"/>
      <c r="AU19" s="22944"/>
      <c r="AV19" s="22944"/>
      <c r="AW19" s="22944"/>
      <c r="AX19" s="22944"/>
      <c r="AY19" s="22944"/>
      <c r="AZ19" s="22944"/>
      <c r="BA19" s="22944"/>
      <c r="BB19" s="22944"/>
      <c r="BC19" s="22944"/>
      <c r="BD19" s="22944"/>
      <c r="BE19" s="22944"/>
      <c r="BF19" s="22944"/>
      <c r="BG19" s="22944"/>
      <c r="BH19" s="22944"/>
      <c r="BI19" s="22944"/>
      <c r="BJ19" s="22944"/>
      <c r="BK19" s="22944"/>
      <c r="BL19" s="22944"/>
      <c r="BM19" s="22944"/>
      <c r="BN19" s="22944"/>
      <c r="BO19" s="22944"/>
      <c r="BP19" s="22944"/>
      <c r="BQ19" s="22944"/>
      <c r="BY19" s="1847">
        <v>0</v>
      </c>
    </row>
    <row s="62148" customFormat="1" customHeight="1" ht="22.5" hidden="1">
      <c r="L20" s="2021"/>
      <c r="M20" s="2054"/>
      <c r="N20" s="2054"/>
      <c r="O20" s="2059" t="s">
        <v>489</v>
      </c>
      <c r="P20" s="2054"/>
      <c r="Q20" s="2063"/>
      <c r="R20" s="2063"/>
      <c r="S20" s="1421"/>
      <c r="Z20" s="2059"/>
      <c r="AB20" s="2059"/>
      <c r="AC20" s="2058"/>
      <c r="AH20" s="2059"/>
      <c r="AJ20" s="2059"/>
      <c r="AK20" s="2058"/>
      <c r="AL20" s="23133"/>
      <c r="AM20" s="23133"/>
      <c r="AN20" s="23133"/>
      <c r="AO20" s="23133"/>
      <c r="AP20" s="23134"/>
      <c r="AQ20" s="23133"/>
      <c r="AR20" s="23134"/>
      <c r="AS20" s="23133"/>
      <c r="AT20" s="23133"/>
      <c r="AU20" s="23133"/>
      <c r="AV20" s="23133"/>
      <c r="AW20" s="23133"/>
      <c r="AX20" s="23134"/>
      <c r="AY20" s="23133"/>
      <c r="AZ20" s="23134"/>
      <c r="BA20" s="23133"/>
      <c r="BB20" s="23133"/>
      <c r="BC20" s="23133"/>
      <c r="BD20" s="23133"/>
      <c r="BE20" s="23133"/>
      <c r="BF20" s="23134"/>
      <c r="BG20" s="23133"/>
      <c r="BH20" s="23134"/>
      <c r="BI20" s="23133"/>
      <c r="BJ20" s="23133"/>
      <c r="BK20" s="23133"/>
      <c r="BL20" s="23133"/>
      <c r="BM20" s="23133"/>
      <c r="BN20" s="23134"/>
      <c r="BO20" s="23133"/>
      <c r="BP20" s="23134"/>
      <c r="BQ20" s="23133"/>
      <c r="BT20" s="1203"/>
      <c r="BU20" s="1203"/>
      <c r="BV20" s="1203"/>
      <c r="BW20" s="1203"/>
      <c r="BX20" s="1203"/>
      <c r="BY20" s="1852">
        <v>0</v>
      </c>
    </row>
    <row s="62148" customFormat="1" customHeight="1" ht="14.25" hidden="1">
      <c r="L21" s="2021"/>
      <c r="M21" s="2054"/>
      <c r="N21" s="2054"/>
      <c r="O21" s="2054"/>
      <c r="P21" s="2054"/>
      <c r="Q21" s="2063"/>
      <c r="R21" s="2063"/>
      <c r="S21" s="1421"/>
      <c r="AC21" s="2058"/>
      <c r="AK21" s="2058"/>
      <c r="AL21" s="23133"/>
      <c r="AM21" s="23133"/>
      <c r="AN21" s="23133"/>
      <c r="AO21" s="23133"/>
      <c r="AP21" s="23133"/>
      <c r="AQ21" s="23133"/>
      <c r="AR21" s="23133"/>
      <c r="AS21" s="23133"/>
      <c r="AT21" s="23133"/>
      <c r="AU21" s="23133"/>
      <c r="AV21" s="23133"/>
      <c r="AW21" s="23133"/>
      <c r="AX21" s="23133"/>
      <c r="AY21" s="23133"/>
      <c r="AZ21" s="23133"/>
      <c r="BA21" s="23133"/>
      <c r="BB21" s="23133"/>
      <c r="BC21" s="23133"/>
      <c r="BD21" s="23133"/>
      <c r="BE21" s="23133"/>
      <c r="BF21" s="23133"/>
      <c r="BG21" s="23133"/>
      <c r="BH21" s="23133"/>
      <c r="BI21" s="23133"/>
      <c r="BJ21" s="23133"/>
      <c r="BK21" s="23133"/>
      <c r="BL21" s="23133"/>
      <c r="BM21" s="23133"/>
      <c r="BN21" s="23133"/>
      <c r="BO21" s="23133"/>
      <c r="BP21" s="23133"/>
      <c r="BQ21" s="23133"/>
      <c r="BT21" s="1203"/>
      <c r="BU21" s="1203"/>
      <c r="BV21" s="1203"/>
      <c r="BW21" s="1203"/>
      <c r="BX21" s="1203"/>
      <c r="BY21" s="1852">
        <v>0</v>
      </c>
    </row>
    <row s="62148" customFormat="1" customHeight="1" ht="14.25" hidden="1">
      <c r="L22" s="2021"/>
      <c r="M22" s="2054"/>
      <c r="N22" s="2054"/>
      <c r="O22" s="2056" t="s">
        <v>490</v>
      </c>
      <c r="P22" s="2054"/>
      <c r="Q22" s="2063"/>
      <c r="R22" s="2063"/>
      <c r="S22" s="1421"/>
      <c r="T22" s="1852" t="s">
        <v>491</v>
      </c>
      <c r="AA22" s="878" t="s">
        <v>492</v>
      </c>
      <c r="AC22" s="878" t="s">
        <v>493</v>
      </c>
      <c r="AD22" s="1852" t="s">
        <v>491</v>
      </c>
      <c r="AI22" s="878" t="s">
        <v>494</v>
      </c>
      <c r="AK22" s="878" t="s">
        <v>493</v>
      </c>
      <c r="AL22" s="23133"/>
      <c r="AM22" s="23133"/>
      <c r="AN22" s="23133"/>
      <c r="AO22" s="23133"/>
      <c r="AP22" s="23133"/>
      <c r="AQ22" s="23135" t="s">
        <v>492</v>
      </c>
      <c r="AR22" s="23133"/>
      <c r="AS22" s="23135" t="s">
        <v>493</v>
      </c>
      <c r="AT22" s="23133"/>
      <c r="AU22" s="23133"/>
      <c r="AV22" s="23133"/>
      <c r="AW22" s="23133"/>
      <c r="AX22" s="23133"/>
      <c r="AY22" s="23135" t="s">
        <v>492</v>
      </c>
      <c r="AZ22" s="23133"/>
      <c r="BA22" s="23135" t="s">
        <v>493</v>
      </c>
      <c r="BB22" s="23133"/>
      <c r="BC22" s="23133"/>
      <c r="BD22" s="23133"/>
      <c r="BE22" s="23133"/>
      <c r="BF22" s="23133"/>
      <c r="BG22" s="23135" t="s">
        <v>492</v>
      </c>
      <c r="BH22" s="23133"/>
      <c r="BI22" s="23135" t="s">
        <v>493</v>
      </c>
      <c r="BJ22" s="23133"/>
      <c r="BK22" s="23133"/>
      <c r="BL22" s="23133"/>
      <c r="BM22" s="23133"/>
      <c r="BN22" s="23133"/>
      <c r="BO22" s="23135" t="s">
        <v>492</v>
      </c>
      <c r="BP22" s="23133"/>
      <c r="BQ22" s="23135" t="s">
        <v>493</v>
      </c>
      <c r="BT22" s="1203"/>
      <c r="BU22" s="1203"/>
      <c r="BV22" s="1203"/>
      <c r="BW22" s="1203"/>
      <c r="BX22" s="1203"/>
      <c r="BY22" s="1852">
        <v>0</v>
      </c>
    </row>
    <row customHeight="1" ht="14.25" hidden="1">
      <c r="O23" s="2056"/>
      <c r="P23" s="2003"/>
      <c r="AL23" s="22944"/>
      <c r="AM23" s="22944"/>
      <c r="AN23" s="22944"/>
      <c r="AO23" s="22944"/>
      <c r="AP23" s="22944"/>
      <c r="AQ23" s="22944"/>
      <c r="AR23" s="22944"/>
      <c r="AS23" s="22944"/>
      <c r="AT23" s="22944"/>
      <c r="AU23" s="22944"/>
      <c r="AV23" s="22944"/>
      <c r="AW23" s="22944"/>
      <c r="AX23" s="22944"/>
      <c r="AY23" s="22944"/>
      <c r="AZ23" s="22944"/>
      <c r="BA23" s="22944"/>
      <c r="BB23" s="22944"/>
      <c r="BC23" s="22944"/>
      <c r="BD23" s="22944"/>
      <c r="BE23" s="22944"/>
      <c r="BF23" s="22944"/>
      <c r="BG23" s="22944"/>
      <c r="BH23" s="22944"/>
      <c r="BI23" s="22944"/>
      <c r="BJ23" s="22944"/>
      <c r="BK23" s="22944"/>
      <c r="BL23" s="22944"/>
      <c r="BM23" s="22944"/>
      <c r="BN23" s="22944"/>
      <c r="BO23" s="22944"/>
      <c r="BP23" s="22944"/>
      <c r="BQ23" s="22944"/>
      <c r="BY23" s="1847">
        <v>0</v>
      </c>
    </row>
    <row customHeight="1" ht="14.25" hidden="1">
      <c r="O24" s="2056"/>
      <c r="P24" s="2003"/>
      <c r="AL24" s="22944"/>
      <c r="AM24" s="22944"/>
      <c r="AN24" s="22944"/>
      <c r="AO24" s="22944"/>
      <c r="AP24" s="22944"/>
      <c r="AQ24" s="22944"/>
      <c r="AR24" s="22944"/>
      <c r="AS24" s="22944"/>
      <c r="AT24" s="22944"/>
      <c r="AU24" s="22944"/>
      <c r="AV24" s="22944"/>
      <c r="AW24" s="22944"/>
      <c r="AX24" s="22944"/>
      <c r="AY24" s="22944"/>
      <c r="AZ24" s="22944"/>
      <c r="BA24" s="22944"/>
      <c r="BB24" s="22944"/>
      <c r="BC24" s="22944"/>
      <c r="BD24" s="22944"/>
      <c r="BE24" s="22944"/>
      <c r="BF24" s="22944"/>
      <c r="BG24" s="22944"/>
      <c r="BH24" s="22944"/>
      <c r="BI24" s="22944"/>
      <c r="BJ24" s="22944"/>
      <c r="BK24" s="22944"/>
      <c r="BL24" s="22944"/>
      <c r="BM24" s="22944"/>
      <c r="BN24" s="22944"/>
      <c r="BO24" s="22944"/>
      <c r="BP24" s="22944"/>
      <c r="BQ24" s="22944"/>
      <c r="BY24" s="1847">
        <v>0</v>
      </c>
    </row>
    <row customHeight="1" ht="14.699999999999998">
      <c r="Q25" s="1068"/>
      <c r="R25" s="1068"/>
      <c r="S25" s="1967"/>
      <c r="T25" s="1055"/>
      <c r="U25" s="1055"/>
      <c r="V25" s="1201"/>
      <c r="W25" s="1201"/>
      <c r="X25" s="1201"/>
      <c r="Y25" s="1201"/>
      <c r="Z25" s="1201"/>
      <c r="AA25" s="1201"/>
      <c r="AB25" s="1201"/>
      <c r="AC25" s="1201"/>
      <c r="AD25" s="1201"/>
      <c r="AE25" s="1201"/>
      <c r="AF25" s="1201"/>
      <c r="AG25" s="1201"/>
      <c r="AH25" s="1201"/>
      <c r="AI25" s="1201"/>
      <c r="AJ25" s="1201"/>
      <c r="AK25" s="1201"/>
      <c r="AL25" s="22944"/>
      <c r="AM25" s="22944"/>
      <c r="AN25" s="22944"/>
      <c r="AO25" s="22944"/>
      <c r="AP25" s="22944"/>
      <c r="AQ25" s="22944"/>
      <c r="AR25" s="22944"/>
      <c r="AS25" s="22944"/>
      <c r="AT25" s="22944"/>
      <c r="AU25" s="22944"/>
      <c r="AV25" s="22944"/>
      <c r="AW25" s="22944"/>
      <c r="AX25" s="22944"/>
      <c r="AY25" s="22944"/>
      <c r="AZ25" s="22944"/>
      <c r="BA25" s="22944"/>
      <c r="BB25" s="22944"/>
      <c r="BC25" s="22944"/>
      <c r="BD25" s="22944"/>
      <c r="BE25" s="22944"/>
      <c r="BF25" s="22944"/>
      <c r="BG25" s="22944"/>
      <c r="BH25" s="22944"/>
      <c r="BI25" s="22944"/>
      <c r="BJ25" s="22944"/>
      <c r="BK25" s="22944"/>
      <c r="BL25" s="22944"/>
      <c r="BM25" s="22944"/>
      <c r="BN25" s="22944"/>
      <c r="BO25" s="22944"/>
      <c r="BP25" s="22944"/>
      <c r="BQ25" s="22944"/>
      <c r="BY25" s="1847">
        <v>14</v>
      </c>
    </row>
    <row customHeight="1" ht="14.699999999999998">
      <c r="Q26" s="1068"/>
      <c r="R26" s="1068"/>
      <c r="S26" s="294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40"/>
      <c r="U26" s="2940"/>
      <c r="V26" s="2940"/>
      <c r="W26" s="2940"/>
      <c r="X26" s="2940"/>
      <c r="Y26" s="2940"/>
      <c r="Z26" s="2940"/>
      <c r="AA26" s="2940"/>
      <c r="AB26" s="2940"/>
      <c r="AC26" s="2940"/>
      <c r="AD26" s="2940"/>
      <c r="AE26" s="2940"/>
      <c r="AF26" s="2940"/>
      <c r="AG26" s="2940"/>
      <c r="AH26" s="2940"/>
      <c r="AI26" s="2940"/>
      <c r="AJ26" s="2940"/>
      <c r="AK26" s="1935"/>
      <c r="AL26" s="23141"/>
      <c r="AM26" s="23141"/>
      <c r="AN26" s="23141"/>
      <c r="AO26" s="23141"/>
      <c r="AP26" s="23141"/>
      <c r="AQ26" s="23141"/>
      <c r="AR26" s="23141"/>
      <c r="AS26" s="23141"/>
      <c r="AT26" s="23141"/>
      <c r="AU26" s="23141"/>
      <c r="AV26" s="23141"/>
      <c r="AW26" s="23141"/>
      <c r="AX26" s="23141"/>
      <c r="AY26" s="23141"/>
      <c r="AZ26" s="23141"/>
      <c r="BA26" s="23141"/>
      <c r="BB26" s="23141"/>
      <c r="BC26" s="23141"/>
      <c r="BD26" s="23141"/>
      <c r="BE26" s="23141"/>
      <c r="BF26" s="23141"/>
      <c r="BG26" s="23141"/>
      <c r="BH26" s="23141"/>
      <c r="BI26" s="23141"/>
      <c r="BJ26" s="23141"/>
      <c r="BK26" s="23141"/>
      <c r="BL26" s="23141"/>
      <c r="BM26" s="23141"/>
      <c r="BN26" s="23141"/>
      <c r="BO26" s="23141"/>
      <c r="BP26" s="23141"/>
      <c r="BQ26" s="23141"/>
      <c r="BY26" s="1847">
        <v>14</v>
      </c>
    </row>
    <row customHeight="1" ht="14.699999999999998">
      <c r="Q27" s="1068"/>
      <c r="R27" s="1068"/>
      <c r="S27" s="2941" t="str">
        <f>IF(org=0,"Не определено",org)</f>
        <v>АО "ДГК"</v>
      </c>
      <c r="T27" s="2941"/>
      <c r="U27" s="2941"/>
      <c r="V27" s="2941"/>
      <c r="W27" s="2941"/>
      <c r="X27" s="2941"/>
      <c r="Y27" s="2941"/>
      <c r="Z27" s="2941"/>
      <c r="AA27" s="2941"/>
      <c r="AB27" s="2941"/>
      <c r="AC27" s="2941"/>
      <c r="AD27" s="2941"/>
      <c r="AE27" s="2941"/>
      <c r="AF27" s="2941"/>
      <c r="AG27" s="2941"/>
      <c r="AH27" s="2941"/>
      <c r="AI27" s="2941"/>
      <c r="AJ27" s="2941"/>
      <c r="AK27" s="1935"/>
      <c r="AL27" s="23143"/>
      <c r="AM27" s="23143"/>
      <c r="AN27" s="23143"/>
      <c r="AO27" s="23143"/>
      <c r="AP27" s="23143"/>
      <c r="AQ27" s="23143"/>
      <c r="AR27" s="23143"/>
      <c r="AS27" s="23143"/>
      <c r="AT27" s="23143"/>
      <c r="AU27" s="23143"/>
      <c r="AV27" s="23143"/>
      <c r="AW27" s="23143"/>
      <c r="AX27" s="23143"/>
      <c r="AY27" s="23143"/>
      <c r="AZ27" s="23143"/>
      <c r="BA27" s="23143"/>
      <c r="BB27" s="23143"/>
      <c r="BC27" s="23143"/>
      <c r="BD27" s="23143"/>
      <c r="BE27" s="23143"/>
      <c r="BF27" s="23143"/>
      <c r="BG27" s="23143"/>
      <c r="BH27" s="23143"/>
      <c r="BI27" s="23143"/>
      <c r="BJ27" s="23143"/>
      <c r="BK27" s="23143"/>
      <c r="BL27" s="23143"/>
      <c r="BM27" s="23143"/>
      <c r="BN27" s="23143"/>
      <c r="BO27" s="23143"/>
      <c r="BP27" s="23143"/>
      <c r="BQ27" s="23143"/>
      <c r="BY27" s="1847">
        <v>14</v>
      </c>
    </row>
    <row customHeight="1" ht="14.25" hidden="1">
      <c r="Q28" s="1068"/>
      <c r="R28" s="1068"/>
      <c r="S28" s="1967"/>
      <c r="T28" s="1055"/>
      <c r="U28" s="1055"/>
      <c r="V28" s="1014"/>
      <c r="W28" s="1014"/>
      <c r="X28" s="1014"/>
      <c r="Y28" s="1014"/>
      <c r="Z28" s="1014"/>
      <c r="AA28" s="1014"/>
      <c r="AB28" s="1014"/>
      <c r="AC28" s="1014"/>
      <c r="AD28" s="1014"/>
      <c r="AE28" s="1014"/>
      <c r="AF28" s="1014"/>
      <c r="AG28" s="1014"/>
      <c r="AH28" s="1014"/>
      <c r="AI28" s="1014"/>
      <c r="AJ28" s="1014"/>
      <c r="AK28" s="1014"/>
      <c r="AL28" s="23145"/>
      <c r="AM28" s="23145"/>
      <c r="AN28" s="23145"/>
      <c r="AO28" s="23145"/>
      <c r="AP28" s="23145"/>
      <c r="AQ28" s="23145"/>
      <c r="AR28" s="23145"/>
      <c r="AS28" s="23145"/>
      <c r="AT28" s="23145"/>
      <c r="AU28" s="23145"/>
      <c r="AV28" s="23145"/>
      <c r="AW28" s="23145"/>
      <c r="AX28" s="23145"/>
      <c r="AY28" s="23145"/>
      <c r="AZ28" s="23145"/>
      <c r="BA28" s="23145"/>
      <c r="BB28" s="23145"/>
      <c r="BC28" s="23145"/>
      <c r="BD28" s="23145"/>
      <c r="BE28" s="23145"/>
      <c r="BF28" s="23145"/>
      <c r="BG28" s="23145"/>
      <c r="BH28" s="23145"/>
      <c r="BI28" s="23145"/>
      <c r="BJ28" s="23145"/>
      <c r="BK28" s="23145"/>
      <c r="BL28" s="23145"/>
      <c r="BM28" s="23145"/>
      <c r="BN28" s="23145"/>
      <c r="BO28" s="23145"/>
      <c r="BP28" s="23145"/>
      <c r="BQ28" s="23145"/>
      <c r="BR28" s="1201"/>
      <c r="BY28" s="1847">
        <v>0</v>
      </c>
    </row>
    <row s="63055" customFormat="1" customHeight="1" ht="25.5" hidden="1">
      <c r="A29" s="2060"/>
      <c r="B29" s="2060"/>
      <c r="C29" s="2060"/>
      <c r="D29" s="2060"/>
      <c r="E29" s="2060"/>
      <c r="F29" s="2060"/>
      <c r="G29" s="2060"/>
      <c r="H29" s="2060"/>
      <c r="I29" s="2060"/>
      <c r="J29" s="2060"/>
      <c r="K29" s="2060"/>
      <c r="L29" s="2061"/>
      <c r="M29" s="2060"/>
      <c r="N29" s="2060"/>
      <c r="O29" s="2060"/>
      <c r="S29" s="2942" t="s">
        <v>42</v>
      </c>
      <c r="T29" s="2942"/>
      <c r="U29" s="2064"/>
      <c r="V29" s="2943" t="str">
        <f>IF(TITLE_NAME_OR_PR_CHANGE="",IF(TITLE_NAME_OR_PR="","",TITLE_NAME_OR_PR),TITLE_NAME_OR_PR_CHANGE)</f>
        <v/>
      </c>
      <c r="W29" s="2943"/>
      <c r="X29" s="2943"/>
      <c r="Y29" s="2943"/>
      <c r="Z29" s="2943"/>
      <c r="AA29" s="2943"/>
      <c r="AB29" s="2943"/>
      <c r="AC29" s="1018"/>
      <c r="AD29" s="2943" t="str">
        <f>IF(TITLE_NAME_OR_PR_CHANGE="",IF(TITLE_NAME_OR_PR="","",TITLE_NAME_OR_PR),TITLE_NAME_OR_PR_CHANGE)</f>
        <v/>
      </c>
      <c r="AE29" s="2943"/>
      <c r="AF29" s="2943"/>
      <c r="AG29" s="2943"/>
      <c r="AH29" s="2943"/>
      <c r="AI29" s="2943"/>
      <c r="AJ29" s="2943"/>
      <c r="AK29" s="1018"/>
      <c r="AL29" s="23152" t="str">
        <f>IF(TITLE_NAME_OR_PR_CHANGE="",IF(TITLE_NAME_OR_PR="","",TITLE_NAME_OR_PR),TITLE_NAME_OR_PR_CHANGE)</f>
        <v/>
      </c>
      <c r="AM29" s="23152"/>
      <c r="AN29" s="23152"/>
      <c r="AO29" s="23152"/>
      <c r="AP29" s="23152"/>
      <c r="AQ29" s="23152"/>
      <c r="AR29" s="23152"/>
      <c r="AS29" s="22944"/>
      <c r="AT29" s="23152" t="str">
        <f>IF(TITLE_NAME_OR_PR_CHANGE="",IF(TITLE_NAME_OR_PR="","",TITLE_NAME_OR_PR),TITLE_NAME_OR_PR_CHANGE)</f>
        <v/>
      </c>
      <c r="AU29" s="23152"/>
      <c r="AV29" s="23152"/>
      <c r="AW29" s="23152"/>
      <c r="AX29" s="23152"/>
      <c r="AY29" s="23152"/>
      <c r="AZ29" s="23152"/>
      <c r="BA29" s="22944"/>
      <c r="BB29" s="23152" t="str">
        <f>IF(TITLE_NAME_OR_PR_CHANGE="",IF(TITLE_NAME_OR_PR="","",TITLE_NAME_OR_PR),TITLE_NAME_OR_PR_CHANGE)</f>
        <v/>
      </c>
      <c r="BC29" s="23152"/>
      <c r="BD29" s="23152"/>
      <c r="BE29" s="23152"/>
      <c r="BF29" s="23152"/>
      <c r="BG29" s="23152"/>
      <c r="BH29" s="23152"/>
      <c r="BI29" s="22944"/>
      <c r="BJ29" s="23152" t="str">
        <f>IF(TITLE_NAME_OR_PR_CHANGE="",IF(TITLE_NAME_OR_PR="","",TITLE_NAME_OR_PR),TITLE_NAME_OR_PR_CHANGE)</f>
        <v/>
      </c>
      <c r="BK29" s="23152"/>
      <c r="BL29" s="23152"/>
      <c r="BM29" s="23152"/>
      <c r="BN29" s="23152"/>
      <c r="BO29" s="23152"/>
      <c r="BP29" s="23152"/>
      <c r="BQ29" s="22944"/>
      <c r="BR29" s="1018"/>
      <c r="BS29" s="972"/>
      <c r="BT29" s="1060"/>
      <c r="BU29" s="1060"/>
      <c r="BV29" s="1060"/>
      <c r="BW29" s="1060"/>
      <c r="BX29" s="1060"/>
      <c r="BY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495</v>
      </c>
      <c r="T30" s="2942"/>
      <c r="U30" s="2064"/>
      <c r="V30" s="2956" t="str">
        <f>IF(TITLE_DATE_PR_CHANGE="",IF(TITLE_DATE_PR="","",TITLE_DATE_PR),TITLE_DATE_PR_CHANGE)</f>
        <v>45981</v>
      </c>
      <c r="W30" s="2956"/>
      <c r="X30" s="2956"/>
      <c r="Y30" s="2956"/>
      <c r="Z30" s="2956"/>
      <c r="AA30" s="2956"/>
      <c r="AB30" s="2956"/>
      <c r="AC30" s="1018"/>
      <c r="AD30" s="2956" t="str">
        <f>IF(TITLE_DATE_PR_CHANGE="",IF(TITLE_DATE_PR="","",TITLE_DATE_PR),TITLE_DATE_PR_CHANGE)</f>
        <v>45981</v>
      </c>
      <c r="AE30" s="2956"/>
      <c r="AF30" s="2956"/>
      <c r="AG30" s="2956"/>
      <c r="AH30" s="2956"/>
      <c r="AI30" s="2956"/>
      <c r="AJ30" s="2956"/>
      <c r="AK30" s="1018"/>
      <c r="AL30" s="23157" t="str">
        <f>IF(TITLE_DATE_PR_CHANGE="",IF(TITLE_DATE_PR="","",TITLE_DATE_PR),TITLE_DATE_PR_CHANGE)</f>
        <v>45981</v>
      </c>
      <c r="AM30" s="23157"/>
      <c r="AN30" s="23157"/>
      <c r="AO30" s="23157"/>
      <c r="AP30" s="23157"/>
      <c r="AQ30" s="23157"/>
      <c r="AR30" s="23157"/>
      <c r="AS30" s="22944"/>
      <c r="AT30" s="23157" t="str">
        <f>IF(TITLE_DATE_PR_CHANGE="",IF(TITLE_DATE_PR="","",TITLE_DATE_PR),TITLE_DATE_PR_CHANGE)</f>
        <v>45981</v>
      </c>
      <c r="AU30" s="23157"/>
      <c r="AV30" s="23157"/>
      <c r="AW30" s="23157"/>
      <c r="AX30" s="23157"/>
      <c r="AY30" s="23157"/>
      <c r="AZ30" s="23157"/>
      <c r="BA30" s="22944"/>
      <c r="BB30" s="23157" t="str">
        <f>IF(TITLE_DATE_PR_CHANGE="",IF(TITLE_DATE_PR="","",TITLE_DATE_PR),TITLE_DATE_PR_CHANGE)</f>
        <v>45981</v>
      </c>
      <c r="BC30" s="23157"/>
      <c r="BD30" s="23157"/>
      <c r="BE30" s="23157"/>
      <c r="BF30" s="23157"/>
      <c r="BG30" s="23157"/>
      <c r="BH30" s="23157"/>
      <c r="BI30" s="22944"/>
      <c r="BJ30" s="23157" t="str">
        <f>IF(TITLE_DATE_PR_CHANGE="",IF(TITLE_DATE_PR="","",TITLE_DATE_PR),TITLE_DATE_PR_CHANGE)</f>
        <v>45981</v>
      </c>
      <c r="BK30" s="23157"/>
      <c r="BL30" s="23157"/>
      <c r="BM30" s="23157"/>
      <c r="BN30" s="23157"/>
      <c r="BO30" s="23157"/>
      <c r="BP30" s="23157"/>
      <c r="BQ30" s="22944"/>
      <c r="BR30" s="1018"/>
      <c r="BS30" s="972"/>
      <c r="BT30" s="1060"/>
      <c r="BU30" s="1060"/>
      <c r="BV30" s="1060"/>
      <c r="BW30" s="1060"/>
      <c r="BX30" s="1060"/>
      <c r="BY30" s="1110">
        <v>0</v>
      </c>
    </row>
    <row s="63055" customFormat="1" customHeight="1" ht="18.75" hidden="1">
      <c r="A31" s="2060"/>
      <c r="B31" s="2060"/>
      <c r="C31" s="2060"/>
      <c r="D31" s="2060"/>
      <c r="E31" s="2060"/>
      <c r="F31" s="2060"/>
      <c r="G31" s="2060"/>
      <c r="H31" s="2060"/>
      <c r="I31" s="2060"/>
      <c r="J31" s="2060"/>
      <c r="K31" s="2060"/>
      <c r="L31" s="2061"/>
      <c r="M31" s="2060"/>
      <c r="N31" s="2060"/>
      <c r="O31" s="2060"/>
      <c r="S31" s="2942" t="s">
        <v>496</v>
      </c>
      <c r="T31" s="2942"/>
      <c r="U31" s="2064"/>
      <c r="V31" s="2943" t="str">
        <f>IF(TITLE_NUMBER_PR_CHANGE="",IF(TITLE_NUMBER_PR="","",TITLE_NUMBER_PR),TITLE_NUMBER_PR_CHANGE)</f>
        <v>Исх-260/1781</v>
      </c>
      <c r="W31" s="2943"/>
      <c r="X31" s="2943"/>
      <c r="Y31" s="2943"/>
      <c r="Z31" s="2943"/>
      <c r="AA31" s="2943"/>
      <c r="AB31" s="2943"/>
      <c r="AC31" s="1018"/>
      <c r="AD31" s="2943" t="str">
        <f>IF(TITLE_NUMBER_PR_CHANGE="",IF(TITLE_NUMBER_PR="","",TITLE_NUMBER_PR),TITLE_NUMBER_PR_CHANGE)</f>
        <v>Исх-260/1781</v>
      </c>
      <c r="AE31" s="2943"/>
      <c r="AF31" s="2943"/>
      <c r="AG31" s="2943"/>
      <c r="AH31" s="2943"/>
      <c r="AI31" s="2943"/>
      <c r="AJ31" s="2943"/>
      <c r="AK31" s="1018"/>
      <c r="AL31" s="23152" t="str">
        <f>IF(TITLE_NUMBER_PR_CHANGE="",IF(TITLE_NUMBER_PR="","",TITLE_NUMBER_PR),TITLE_NUMBER_PR_CHANGE)</f>
        <v>Исх-260/1781</v>
      </c>
      <c r="AM31" s="23152"/>
      <c r="AN31" s="23152"/>
      <c r="AO31" s="23152"/>
      <c r="AP31" s="23152"/>
      <c r="AQ31" s="23152"/>
      <c r="AR31" s="23152"/>
      <c r="AS31" s="22944"/>
      <c r="AT31" s="23152" t="str">
        <f>IF(TITLE_NUMBER_PR_CHANGE="",IF(TITLE_NUMBER_PR="","",TITLE_NUMBER_PR),TITLE_NUMBER_PR_CHANGE)</f>
        <v>Исх-260/1781</v>
      </c>
      <c r="AU31" s="23152"/>
      <c r="AV31" s="23152"/>
      <c r="AW31" s="23152"/>
      <c r="AX31" s="23152"/>
      <c r="AY31" s="23152"/>
      <c r="AZ31" s="23152"/>
      <c r="BA31" s="22944"/>
      <c r="BB31" s="23152" t="str">
        <f>IF(TITLE_NUMBER_PR_CHANGE="",IF(TITLE_NUMBER_PR="","",TITLE_NUMBER_PR),TITLE_NUMBER_PR_CHANGE)</f>
        <v>Исх-260/1781</v>
      </c>
      <c r="BC31" s="23152"/>
      <c r="BD31" s="23152"/>
      <c r="BE31" s="23152"/>
      <c r="BF31" s="23152"/>
      <c r="BG31" s="23152"/>
      <c r="BH31" s="23152"/>
      <c r="BI31" s="22944"/>
      <c r="BJ31" s="23152" t="str">
        <f>IF(TITLE_NUMBER_PR_CHANGE="",IF(TITLE_NUMBER_PR="","",TITLE_NUMBER_PR),TITLE_NUMBER_PR_CHANGE)</f>
        <v>Исх-260/1781</v>
      </c>
      <c r="BK31" s="23152"/>
      <c r="BL31" s="23152"/>
      <c r="BM31" s="23152"/>
      <c r="BN31" s="23152"/>
      <c r="BO31" s="23152"/>
      <c r="BP31" s="23152"/>
      <c r="BQ31" s="22944"/>
      <c r="BR31" s="1018"/>
      <c r="BS31" s="972"/>
      <c r="BT31" s="1060"/>
      <c r="BU31" s="1060"/>
      <c r="BV31" s="1060"/>
      <c r="BW31" s="1060"/>
      <c r="BX31" s="1060"/>
      <c r="BY31" s="1110">
        <v>0</v>
      </c>
    </row>
    <row s="63055" customFormat="1" customHeight="1" ht="18.75" hidden="1">
      <c r="A32" s="2060"/>
      <c r="B32" s="2060"/>
      <c r="C32" s="2060"/>
      <c r="D32" s="2060"/>
      <c r="E32" s="2060"/>
      <c r="F32" s="2060"/>
      <c r="G32" s="2060"/>
      <c r="H32" s="2060"/>
      <c r="I32" s="2060"/>
      <c r="J32" s="2060"/>
      <c r="K32" s="2060"/>
      <c r="L32" s="2061"/>
      <c r="M32" s="2060"/>
      <c r="N32" s="2060"/>
      <c r="O32" s="2060"/>
      <c r="S32" s="2942" t="s">
        <v>43</v>
      </c>
      <c r="T32" s="2942"/>
      <c r="U32" s="2064"/>
      <c r="V32" s="2943" t="str">
        <f>IF(TITLE_IST_PUB_CHANGE="",IF(TITLE_IST_PUB="","",TITLE_IST_PUB),TITLE_IST_PUB_CHANGE)</f>
        <v/>
      </c>
      <c r="W32" s="2943"/>
      <c r="X32" s="2943"/>
      <c r="Y32" s="2943"/>
      <c r="Z32" s="2943"/>
      <c r="AA32" s="2943"/>
      <c r="AB32" s="2943"/>
      <c r="AC32" s="1018"/>
      <c r="AD32" s="2943" t="str">
        <f>IF(TITLE_IST_PUB_CHANGE="",IF(TITLE_IST_PUB="","",TITLE_IST_PUB),TITLE_IST_PUB_CHANGE)</f>
        <v/>
      </c>
      <c r="AE32" s="2943"/>
      <c r="AF32" s="2943"/>
      <c r="AG32" s="2943"/>
      <c r="AH32" s="2943"/>
      <c r="AI32" s="2943"/>
      <c r="AJ32" s="2943"/>
      <c r="AK32" s="1018"/>
      <c r="AL32" s="23152" t="str">
        <f>IF(TITLE_IST_PUB_CHANGE="",IF(TITLE_IST_PUB="","",TITLE_IST_PUB),TITLE_IST_PUB_CHANGE)</f>
        <v/>
      </c>
      <c r="AM32" s="23152"/>
      <c r="AN32" s="23152"/>
      <c r="AO32" s="23152"/>
      <c r="AP32" s="23152"/>
      <c r="AQ32" s="23152"/>
      <c r="AR32" s="23152"/>
      <c r="AS32" s="22944"/>
      <c r="AT32" s="23152" t="str">
        <f>IF(TITLE_IST_PUB_CHANGE="",IF(TITLE_IST_PUB="","",TITLE_IST_PUB),TITLE_IST_PUB_CHANGE)</f>
        <v/>
      </c>
      <c r="AU32" s="23152"/>
      <c r="AV32" s="23152"/>
      <c r="AW32" s="23152"/>
      <c r="AX32" s="23152"/>
      <c r="AY32" s="23152"/>
      <c r="AZ32" s="23152"/>
      <c r="BA32" s="22944"/>
      <c r="BB32" s="23152" t="str">
        <f>IF(TITLE_IST_PUB_CHANGE="",IF(TITLE_IST_PUB="","",TITLE_IST_PUB),TITLE_IST_PUB_CHANGE)</f>
        <v/>
      </c>
      <c r="BC32" s="23152"/>
      <c r="BD32" s="23152"/>
      <c r="BE32" s="23152"/>
      <c r="BF32" s="23152"/>
      <c r="BG32" s="23152"/>
      <c r="BH32" s="23152"/>
      <c r="BI32" s="22944"/>
      <c r="BJ32" s="23152" t="str">
        <f>IF(TITLE_IST_PUB_CHANGE="",IF(TITLE_IST_PUB="","",TITLE_IST_PUB),TITLE_IST_PUB_CHANGE)</f>
        <v/>
      </c>
      <c r="BK32" s="23152"/>
      <c r="BL32" s="23152"/>
      <c r="BM32" s="23152"/>
      <c r="BN32" s="23152"/>
      <c r="BO32" s="23152"/>
      <c r="BP32" s="23152"/>
      <c r="BQ32" s="22944"/>
      <c r="BR32" s="1018"/>
      <c r="BS32" s="972"/>
      <c r="BT32" s="1060"/>
      <c r="BU32" s="1060"/>
      <c r="BV32" s="1060"/>
      <c r="BW32" s="1060"/>
      <c r="BX32" s="1060"/>
      <c r="BY32" s="1110">
        <v>0</v>
      </c>
    </row>
    <row customHeight="1" ht="14.25">
      <c r="P33" s="2020"/>
      <c r="Q33" s="1068"/>
      <c r="R33" s="1068"/>
      <c r="S33" s="1967"/>
      <c r="T33" s="1055"/>
      <c r="U33" s="1055"/>
      <c r="V33" s="1014"/>
      <c r="W33" s="1014"/>
      <c r="X33" s="1014"/>
      <c r="Y33" s="1014"/>
      <c r="Z33" s="1014"/>
      <c r="AA33" s="1014"/>
      <c r="AB33" s="1014"/>
      <c r="AC33" s="1014"/>
      <c r="AD33" s="1014"/>
      <c r="AE33" s="1014"/>
      <c r="AF33" s="1014"/>
      <c r="AG33" s="1014"/>
      <c r="AH33" s="1014"/>
      <c r="AI33" s="1014"/>
      <c r="AJ33" s="1014"/>
      <c r="AK33" s="1014"/>
      <c r="AL33" s="23145"/>
      <c r="AM33" s="23145"/>
      <c r="AN33" s="23145"/>
      <c r="AO33" s="23145"/>
      <c r="AP33" s="23145"/>
      <c r="AQ33" s="23145"/>
      <c r="AR33" s="23145"/>
      <c r="AS33" s="23145"/>
      <c r="AT33" s="23145"/>
      <c r="AU33" s="23145"/>
      <c r="AV33" s="23145"/>
      <c r="AW33" s="23145"/>
      <c r="AX33" s="23145"/>
      <c r="AY33" s="23145"/>
      <c r="AZ33" s="23145"/>
      <c r="BA33" s="23145"/>
      <c r="BB33" s="23145"/>
      <c r="BC33" s="23145"/>
      <c r="BD33" s="23145"/>
      <c r="BE33" s="23145"/>
      <c r="BF33" s="23145"/>
      <c r="BG33" s="23145"/>
      <c r="BH33" s="23145"/>
      <c r="BI33" s="23145"/>
      <c r="BJ33" s="23145"/>
      <c r="BK33" s="23145"/>
      <c r="BL33" s="23145"/>
      <c r="BM33" s="23145"/>
      <c r="BN33" s="23145"/>
      <c r="BO33" s="23145"/>
      <c r="BP33" s="23145"/>
      <c r="BQ33" s="23145"/>
      <c r="BR33" s="1201"/>
      <c r="BY33" s="1847">
        <v>0</v>
      </c>
    </row>
    <row s="63055" customFormat="1" customHeight="1" ht="18.75">
      <c r="A34" s="2060"/>
      <c r="B34" s="2060"/>
      <c r="C34" s="2060"/>
      <c r="D34" s="2060"/>
      <c r="E34" s="2060"/>
      <c r="F34" s="2060"/>
      <c r="G34" s="2060"/>
      <c r="H34" s="2060"/>
      <c r="I34" s="2060"/>
      <c r="J34" s="2060"/>
      <c r="K34" s="2060"/>
      <c r="L34" s="2061"/>
      <c r="M34" s="2060"/>
      <c r="N34" s="2060"/>
      <c r="O34" s="2060"/>
      <c r="S34" s="2942" t="s">
        <v>497</v>
      </c>
      <c r="T34" s="2942"/>
      <c r="U34" s="2064"/>
      <c r="V34" s="2956" t="str">
        <f>IF(TITLE_DATE_PR_CHANGE="",IF(TITLE_DATE_PR="","",TITLE_DATE_PR),TITLE_DATE_PR_CHANGE)</f>
        <v>45981</v>
      </c>
      <c r="W34" s="2956"/>
      <c r="X34" s="2956"/>
      <c r="Y34" s="2956"/>
      <c r="Z34" s="2956"/>
      <c r="AA34" s="2956"/>
      <c r="AB34" s="2956"/>
      <c r="AC34" s="1018"/>
      <c r="AD34" s="2956" t="str">
        <f>IF(TITLE_DATE_PR_CHANGE="",IF(TITLE_DATE_PR="","",TITLE_DATE_PR),TITLE_DATE_PR_CHANGE)</f>
        <v>45981</v>
      </c>
      <c r="AE34" s="2956"/>
      <c r="AF34" s="2956"/>
      <c r="AG34" s="2956"/>
      <c r="AH34" s="2956"/>
      <c r="AI34" s="2956"/>
      <c r="AJ34" s="2956"/>
      <c r="AK34" s="1018"/>
      <c r="AL34" s="23157" t="str">
        <f>IF(TITLE_DATE_PR_CHANGE="",IF(TITLE_DATE_PR="","",TITLE_DATE_PR),TITLE_DATE_PR_CHANGE)</f>
        <v>45981</v>
      </c>
      <c r="AM34" s="23157"/>
      <c r="AN34" s="23157"/>
      <c r="AO34" s="23157"/>
      <c r="AP34" s="23157"/>
      <c r="AQ34" s="23157"/>
      <c r="AR34" s="23157"/>
      <c r="AS34" s="22944"/>
      <c r="AT34" s="23157" t="str">
        <f>IF(TITLE_DATE_PR_CHANGE="",IF(TITLE_DATE_PR="","",TITLE_DATE_PR),TITLE_DATE_PR_CHANGE)</f>
        <v>45981</v>
      </c>
      <c r="AU34" s="23157"/>
      <c r="AV34" s="23157"/>
      <c r="AW34" s="23157"/>
      <c r="AX34" s="23157"/>
      <c r="AY34" s="23157"/>
      <c r="AZ34" s="23157"/>
      <c r="BA34" s="22944"/>
      <c r="BB34" s="23157" t="str">
        <f>IF(TITLE_DATE_PR_CHANGE="",IF(TITLE_DATE_PR="","",TITLE_DATE_PR),TITLE_DATE_PR_CHANGE)</f>
        <v>45981</v>
      </c>
      <c r="BC34" s="23157"/>
      <c r="BD34" s="23157"/>
      <c r="BE34" s="23157"/>
      <c r="BF34" s="23157"/>
      <c r="BG34" s="23157"/>
      <c r="BH34" s="23157"/>
      <c r="BI34" s="22944"/>
      <c r="BJ34" s="23157" t="str">
        <f>IF(TITLE_DATE_PR_CHANGE="",IF(TITLE_DATE_PR="","",TITLE_DATE_PR),TITLE_DATE_PR_CHANGE)</f>
        <v>45981</v>
      </c>
      <c r="BK34" s="23157"/>
      <c r="BL34" s="23157"/>
      <c r="BM34" s="23157"/>
      <c r="BN34" s="23157"/>
      <c r="BO34" s="23157"/>
      <c r="BP34" s="23157"/>
      <c r="BQ34" s="22944"/>
      <c r="BR34" s="1018"/>
      <c r="BS34" s="972"/>
      <c r="BT34" s="1060"/>
      <c r="BU34" s="1060"/>
      <c r="BV34" s="1060"/>
      <c r="BW34" s="1060"/>
      <c r="BX34" s="1060"/>
      <c r="BY34" s="1110">
        <v>0</v>
      </c>
    </row>
    <row s="63055" customFormat="1" customHeight="1" ht="18.75">
      <c r="A35" s="2060"/>
      <c r="B35" s="2060"/>
      <c r="C35" s="2060"/>
      <c r="D35" s="2060"/>
      <c r="E35" s="2060"/>
      <c r="F35" s="2060"/>
      <c r="G35" s="2060"/>
      <c r="H35" s="2060"/>
      <c r="I35" s="2060"/>
      <c r="J35" s="2060"/>
      <c r="K35" s="2060"/>
      <c r="L35" s="2061"/>
      <c r="M35" s="2060"/>
      <c r="N35" s="2060"/>
      <c r="O35" s="2060"/>
      <c r="S35" s="2942" t="s">
        <v>498</v>
      </c>
      <c r="T35" s="2942"/>
      <c r="U35" s="2064"/>
      <c r="V35" s="2943" t="str">
        <f>IF(TITLE_NUMBER_PR_CHANGE="",IF(TITLE_NUMBER_PR="","",TITLE_NUMBER_PR),TITLE_NUMBER_PR_CHANGE)</f>
        <v>Исх-260/1781</v>
      </c>
      <c r="W35" s="2943"/>
      <c r="X35" s="2943"/>
      <c r="Y35" s="2943"/>
      <c r="Z35" s="2943"/>
      <c r="AA35" s="2943"/>
      <c r="AB35" s="2943"/>
      <c r="AC35" s="1018"/>
      <c r="AD35" s="2943" t="str">
        <f>IF(TITLE_NUMBER_PR_CHANGE="",IF(TITLE_NUMBER_PR="","",TITLE_NUMBER_PR),TITLE_NUMBER_PR_CHANGE)</f>
        <v>Исх-260/1781</v>
      </c>
      <c r="AE35" s="2943"/>
      <c r="AF35" s="2943"/>
      <c r="AG35" s="2943"/>
      <c r="AH35" s="2943"/>
      <c r="AI35" s="2943"/>
      <c r="AJ35" s="2943"/>
      <c r="AK35" s="1018"/>
      <c r="AL35" s="23152" t="str">
        <f>IF(TITLE_NUMBER_PR_CHANGE="",IF(TITLE_NUMBER_PR="","",TITLE_NUMBER_PR),TITLE_NUMBER_PR_CHANGE)</f>
        <v>Исх-260/1781</v>
      </c>
      <c r="AM35" s="23152"/>
      <c r="AN35" s="23152"/>
      <c r="AO35" s="23152"/>
      <c r="AP35" s="23152"/>
      <c r="AQ35" s="23152"/>
      <c r="AR35" s="23152"/>
      <c r="AS35" s="22944"/>
      <c r="AT35" s="23152" t="str">
        <f>IF(TITLE_NUMBER_PR_CHANGE="",IF(TITLE_NUMBER_PR="","",TITLE_NUMBER_PR),TITLE_NUMBER_PR_CHANGE)</f>
        <v>Исх-260/1781</v>
      </c>
      <c r="AU35" s="23152"/>
      <c r="AV35" s="23152"/>
      <c r="AW35" s="23152"/>
      <c r="AX35" s="23152"/>
      <c r="AY35" s="23152"/>
      <c r="AZ35" s="23152"/>
      <c r="BA35" s="22944"/>
      <c r="BB35" s="23152" t="str">
        <f>IF(TITLE_NUMBER_PR_CHANGE="",IF(TITLE_NUMBER_PR="","",TITLE_NUMBER_PR),TITLE_NUMBER_PR_CHANGE)</f>
        <v>Исх-260/1781</v>
      </c>
      <c r="BC35" s="23152"/>
      <c r="BD35" s="23152"/>
      <c r="BE35" s="23152"/>
      <c r="BF35" s="23152"/>
      <c r="BG35" s="23152"/>
      <c r="BH35" s="23152"/>
      <c r="BI35" s="22944"/>
      <c r="BJ35" s="23152" t="str">
        <f>IF(TITLE_NUMBER_PR_CHANGE="",IF(TITLE_NUMBER_PR="","",TITLE_NUMBER_PR),TITLE_NUMBER_PR_CHANGE)</f>
        <v>Исх-260/1781</v>
      </c>
      <c r="BK35" s="23152"/>
      <c r="BL35" s="23152"/>
      <c r="BM35" s="23152"/>
      <c r="BN35" s="23152"/>
      <c r="BO35" s="23152"/>
      <c r="BP35" s="23152"/>
      <c r="BQ35" s="22944"/>
      <c r="BR35" s="1018"/>
      <c r="BS35" s="972"/>
      <c r="BT35" s="1060"/>
      <c r="BU35" s="1060"/>
      <c r="BV35" s="1060"/>
      <c r="BW35" s="1060"/>
      <c r="BX35" s="1060"/>
      <c r="BY35" s="1110">
        <v>0</v>
      </c>
    </row>
    <row s="63055" customFormat="1" customHeight="1" ht="0">
      <c r="A36" s="2060"/>
      <c r="B36" s="2060"/>
      <c r="C36" s="2060"/>
      <c r="D36" s="2060"/>
      <c r="E36" s="2060"/>
      <c r="F36" s="2060"/>
      <c r="G36" s="2060"/>
      <c r="H36" s="2060"/>
      <c r="I36" s="2060"/>
      <c r="J36" s="2060"/>
      <c r="K36" s="2060"/>
      <c r="L36" s="2061"/>
      <c r="M36" s="2060"/>
      <c r="N36" s="2060"/>
      <c r="O36" s="2060"/>
      <c r="S36" s="1015"/>
      <c r="T36" s="1015"/>
      <c r="U36" s="1911"/>
      <c r="V36" s="1018"/>
      <c r="W36" s="1018"/>
      <c r="X36" s="1018"/>
      <c r="Y36" s="1018"/>
      <c r="Z36" s="1018"/>
      <c r="AA36" s="1018"/>
      <c r="AB36" s="1018"/>
      <c r="AC36" s="970" t="s">
        <v>499</v>
      </c>
      <c r="AD36" s="1018"/>
      <c r="AE36" s="1018"/>
      <c r="AF36" s="1018"/>
      <c r="AG36" s="1018"/>
      <c r="AH36" s="1018"/>
      <c r="AI36" s="1018"/>
      <c r="AJ36" s="1018"/>
      <c r="AK36" s="970" t="s">
        <v>499</v>
      </c>
      <c r="AL36" s="22944"/>
      <c r="AM36" s="22944"/>
      <c r="AN36" s="22944"/>
      <c r="AO36" s="22944"/>
      <c r="AP36" s="22944"/>
      <c r="AQ36" s="22944"/>
      <c r="AR36" s="22944"/>
      <c r="AS36" s="23161" t="s">
        <v>499</v>
      </c>
      <c r="AT36" s="22944"/>
      <c r="AU36" s="22944"/>
      <c r="AV36" s="22944"/>
      <c r="AW36" s="22944"/>
      <c r="AX36" s="22944"/>
      <c r="AY36" s="22944"/>
      <c r="AZ36" s="22944"/>
      <c r="BA36" s="23161" t="s">
        <v>499</v>
      </c>
      <c r="BB36" s="22944"/>
      <c r="BC36" s="22944"/>
      <c r="BD36" s="22944"/>
      <c r="BE36" s="22944"/>
      <c r="BF36" s="22944"/>
      <c r="BG36" s="22944"/>
      <c r="BH36" s="22944"/>
      <c r="BI36" s="23161" t="s">
        <v>499</v>
      </c>
      <c r="BJ36" s="22944"/>
      <c r="BK36" s="22944"/>
      <c r="BL36" s="22944"/>
      <c r="BM36" s="22944"/>
      <c r="BN36" s="22944"/>
      <c r="BO36" s="22944"/>
      <c r="BP36" s="22944"/>
      <c r="BQ36" s="23161" t="s">
        <v>499</v>
      </c>
      <c r="BT36" s="1060"/>
      <c r="BU36" s="1060"/>
      <c r="BV36" s="1060"/>
      <c r="BW36" s="1060"/>
      <c r="BX36" s="1060"/>
      <c r="BY36" s="1110">
        <v>0</v>
      </c>
    </row>
    <row customHeight="1" ht="14.699999999999998">
      <c r="Q37" s="1068"/>
      <c r="R37" s="1068"/>
      <c r="S37" s="1967"/>
      <c r="T37" s="1055"/>
      <c r="U37" s="1936"/>
      <c r="V37" s="2944"/>
      <c r="W37" s="2944"/>
      <c r="X37" s="2944"/>
      <c r="Y37" s="2944"/>
      <c r="Z37" s="2944"/>
      <c r="AA37" s="2944"/>
      <c r="AB37" s="2944"/>
      <c r="AC37" s="2944"/>
      <c r="AD37" s="2944"/>
      <c r="AE37" s="2944"/>
      <c r="AF37" s="2944"/>
      <c r="AG37" s="2944"/>
      <c r="AH37" s="2944"/>
      <c r="AI37" s="2944"/>
      <c r="AJ37" s="2944"/>
      <c r="AK37" s="2944"/>
      <c r="AL37" s="23164" t="s">
        <v>104</v>
      </c>
      <c r="AM37" s="23164"/>
      <c r="AN37" s="23164"/>
      <c r="AO37" s="23164"/>
      <c r="AP37" s="23164"/>
      <c r="AQ37" s="23164"/>
      <c r="AR37" s="23164"/>
      <c r="AS37" s="23164"/>
      <c r="AT37" s="23164" t="s">
        <v>104</v>
      </c>
      <c r="AU37" s="23164"/>
      <c r="AV37" s="23164"/>
      <c r="AW37" s="23164"/>
      <c r="AX37" s="23164"/>
      <c r="AY37" s="23164"/>
      <c r="AZ37" s="23164"/>
      <c r="BA37" s="23164"/>
      <c r="BB37" s="23164" t="s">
        <v>104</v>
      </c>
      <c r="BC37" s="23164"/>
      <c r="BD37" s="23164"/>
      <c r="BE37" s="23164"/>
      <c r="BF37" s="23164"/>
      <c r="BG37" s="23164"/>
      <c r="BH37" s="23164"/>
      <c r="BI37" s="23164"/>
      <c r="BJ37" s="23164" t="s">
        <v>104</v>
      </c>
      <c r="BK37" s="23164"/>
      <c r="BL37" s="23164"/>
      <c r="BM37" s="23164"/>
      <c r="BN37" s="23164"/>
      <c r="BO37" s="23164"/>
      <c r="BP37" s="23164"/>
      <c r="BQ37" s="23164"/>
      <c r="BY37" s="1847">
        <v>14</v>
      </c>
    </row>
    <row customHeight="1" ht="15">
      <c r="Q38" s="1068"/>
      <c r="R38" s="1068"/>
      <c r="S38" s="2819" t="s">
        <v>375</v>
      </c>
      <c r="T38" s="2819"/>
      <c r="U38" s="2819"/>
      <c r="V38" s="2819"/>
      <c r="W38" s="2819"/>
      <c r="X38" s="2819"/>
      <c r="Y38" s="2819"/>
      <c r="Z38" s="2819"/>
      <c r="AA38" s="2819"/>
      <c r="AB38" s="2819"/>
      <c r="AC38" s="2819"/>
      <c r="AD38" s="2819"/>
      <c r="AE38" s="2819"/>
      <c r="AF38" s="2819"/>
      <c r="AG38" s="2819"/>
      <c r="AH38" s="2819"/>
      <c r="AI38" s="2819"/>
      <c r="AJ38" s="2819"/>
      <c r="AK38" s="2819"/>
      <c r="AL38" s="23165" t="s">
        <v>375</v>
      </c>
      <c r="AM38" s="23165"/>
      <c r="AN38" s="23165"/>
      <c r="AO38" s="23165"/>
      <c r="AP38" s="23165"/>
      <c r="AQ38" s="23165"/>
      <c r="AR38" s="23165"/>
      <c r="AS38" s="23165"/>
      <c r="AT38" s="23165" t="s">
        <v>375</v>
      </c>
      <c r="AU38" s="23165"/>
      <c r="AV38" s="23165"/>
      <c r="AW38" s="23165"/>
      <c r="AX38" s="23165"/>
      <c r="AY38" s="23165"/>
      <c r="AZ38" s="23165"/>
      <c r="BA38" s="23165"/>
      <c r="BB38" s="23165" t="s">
        <v>375</v>
      </c>
      <c r="BC38" s="23165"/>
      <c r="BD38" s="23165"/>
      <c r="BE38" s="23165"/>
      <c r="BF38" s="23165"/>
      <c r="BG38" s="23165"/>
      <c r="BH38" s="23165"/>
      <c r="BI38" s="23165"/>
      <c r="BJ38" s="23165" t="s">
        <v>375</v>
      </c>
      <c r="BK38" s="23165"/>
      <c r="BL38" s="23165"/>
      <c r="BM38" s="23165"/>
      <c r="BN38" s="23165"/>
      <c r="BO38" s="23165"/>
      <c r="BP38" s="23165"/>
      <c r="BQ38" s="23165"/>
      <c r="BR38" s="2819"/>
      <c r="BS38" s="2819"/>
      <c r="BY38" s="1847"/>
    </row>
    <row customHeight="1" ht="14.699999999999998">
      <c r="Q39" s="1068"/>
      <c r="R39" s="1068"/>
      <c r="S39" s="2965" t="s">
        <v>89</v>
      </c>
      <c r="T39" s="2901" t="s">
        <v>500</v>
      </c>
      <c r="U39" s="993"/>
      <c r="V39" s="2966" t="s">
        <v>501</v>
      </c>
      <c r="W39" s="2967"/>
      <c r="X39" s="2967"/>
      <c r="Y39" s="2967"/>
      <c r="Z39" s="2967"/>
      <c r="AA39" s="2967"/>
      <c r="AB39" s="2968"/>
      <c r="AC39" s="2969" t="s">
        <v>502</v>
      </c>
      <c r="AD39" s="2966" t="s">
        <v>501</v>
      </c>
      <c r="AE39" s="2967"/>
      <c r="AF39" s="2967"/>
      <c r="AG39" s="2967"/>
      <c r="AH39" s="2967"/>
      <c r="AI39" s="2967"/>
      <c r="AJ39" s="2968"/>
      <c r="AK39" s="2969" t="s">
        <v>503</v>
      </c>
      <c r="AL39" s="23172" t="s">
        <v>501</v>
      </c>
      <c r="AM39" s="23173"/>
      <c r="AN39" s="23173"/>
      <c r="AO39" s="23173"/>
      <c r="AP39" s="23173"/>
      <c r="AQ39" s="23173"/>
      <c r="AR39" s="23174"/>
      <c r="AS39" s="23175" t="s">
        <v>502</v>
      </c>
      <c r="AT39" s="23172" t="s">
        <v>501</v>
      </c>
      <c r="AU39" s="23173"/>
      <c r="AV39" s="23173"/>
      <c r="AW39" s="23173"/>
      <c r="AX39" s="23173"/>
      <c r="AY39" s="23173"/>
      <c r="AZ39" s="23174"/>
      <c r="BA39" s="23175" t="s">
        <v>502</v>
      </c>
      <c r="BB39" s="23172" t="s">
        <v>501</v>
      </c>
      <c r="BC39" s="23173"/>
      <c r="BD39" s="23173"/>
      <c r="BE39" s="23173"/>
      <c r="BF39" s="23173"/>
      <c r="BG39" s="23173"/>
      <c r="BH39" s="23174"/>
      <c r="BI39" s="23175" t="s">
        <v>502</v>
      </c>
      <c r="BJ39" s="23172" t="s">
        <v>501</v>
      </c>
      <c r="BK39" s="23173"/>
      <c r="BL39" s="23173"/>
      <c r="BM39" s="23173"/>
      <c r="BN39" s="23173"/>
      <c r="BO39" s="23173"/>
      <c r="BP39" s="23174"/>
      <c r="BQ39" s="23175" t="s">
        <v>502</v>
      </c>
      <c r="BR39" s="2972" t="s">
        <v>504</v>
      </c>
      <c r="BS39" s="2819"/>
      <c r="BY39" s="1847">
        <v>14</v>
      </c>
    </row>
    <row customHeight="1" ht="35.699999999999996">
      <c r="Q40" s="1068"/>
      <c r="R40" s="1068"/>
      <c r="S40" s="2965"/>
      <c r="T40" s="2901"/>
      <c r="U40" s="1723"/>
      <c r="V40" s="2952" t="s">
        <v>505</v>
      </c>
      <c r="W40" s="3302" t="s">
        <v>506</v>
      </c>
      <c r="X40" s="2954" t="s">
        <v>507</v>
      </c>
      <c r="Y40" s="2955"/>
      <c r="Z40" s="2954" t="s">
        <v>508</v>
      </c>
      <c r="AA40" s="2961"/>
      <c r="AB40" s="2955"/>
      <c r="AC40" s="2970"/>
      <c r="AD40" s="2952" t="s">
        <v>505</v>
      </c>
      <c r="AE40" s="2975" t="s">
        <v>506</v>
      </c>
      <c r="AF40" s="2954" t="s">
        <v>507</v>
      </c>
      <c r="AG40" s="2955"/>
      <c r="AH40" s="2954" t="s">
        <v>508</v>
      </c>
      <c r="AI40" s="2961"/>
      <c r="AJ40" s="2955"/>
      <c r="AK40" s="2970"/>
      <c r="AL40" s="23185" t="s">
        <v>505</v>
      </c>
      <c r="AM40" s="23186" t="s">
        <v>506</v>
      </c>
      <c r="AN40" s="23187" t="s">
        <v>507</v>
      </c>
      <c r="AO40" s="23188"/>
      <c r="AP40" s="23187" t="s">
        <v>508</v>
      </c>
      <c r="AQ40" s="23189"/>
      <c r="AR40" s="23188"/>
      <c r="AS40" s="23190"/>
      <c r="AT40" s="23185" t="s">
        <v>505</v>
      </c>
      <c r="AU40" s="23186" t="s">
        <v>506</v>
      </c>
      <c r="AV40" s="23187" t="s">
        <v>507</v>
      </c>
      <c r="AW40" s="23188"/>
      <c r="AX40" s="23187" t="s">
        <v>508</v>
      </c>
      <c r="AY40" s="23189"/>
      <c r="AZ40" s="23188"/>
      <c r="BA40" s="23190"/>
      <c r="BB40" s="23185" t="s">
        <v>505</v>
      </c>
      <c r="BC40" s="23186" t="s">
        <v>506</v>
      </c>
      <c r="BD40" s="23187" t="s">
        <v>507</v>
      </c>
      <c r="BE40" s="23188"/>
      <c r="BF40" s="23187" t="s">
        <v>508</v>
      </c>
      <c r="BG40" s="23189"/>
      <c r="BH40" s="23188"/>
      <c r="BI40" s="23190"/>
      <c r="BJ40" s="23185" t="s">
        <v>505</v>
      </c>
      <c r="BK40" s="23186" t="s">
        <v>506</v>
      </c>
      <c r="BL40" s="23187" t="s">
        <v>507</v>
      </c>
      <c r="BM40" s="23188"/>
      <c r="BN40" s="23187" t="s">
        <v>508</v>
      </c>
      <c r="BO40" s="23189"/>
      <c r="BP40" s="23188"/>
      <c r="BQ40" s="23190"/>
      <c r="BR40" s="2973"/>
      <c r="BS40" s="2819"/>
      <c r="BY40" s="1847">
        <v>34</v>
      </c>
    </row>
    <row customHeight="1" ht="75">
      <c r="A41" s="2062"/>
      <c r="B41" s="2062" t="s">
        <v>143</v>
      </c>
      <c r="C41" s="2062" t="s">
        <v>144</v>
      </c>
      <c r="D41" s="2062" t="s">
        <v>145</v>
      </c>
      <c r="E41" s="2056" t="s">
        <v>509</v>
      </c>
      <c r="F41" s="2056" t="s">
        <v>510</v>
      </c>
      <c r="G41" s="2056" t="s">
        <v>511</v>
      </c>
      <c r="H41" s="2056" t="s">
        <v>512</v>
      </c>
      <c r="I41" s="2056" t="s">
        <v>513</v>
      </c>
      <c r="J41" s="2056" t="s">
        <v>514</v>
      </c>
      <c r="K41" s="2056" t="s">
        <v>515</v>
      </c>
      <c r="L41" s="2056" t="s">
        <v>490</v>
      </c>
      <c r="Q41" s="1068"/>
      <c r="R41" s="1068"/>
      <c r="S41" s="2965"/>
      <c r="T41" s="2901"/>
      <c r="U41" s="994"/>
      <c r="V41" s="2953"/>
      <c r="W41" s="2976"/>
      <c r="X41" s="1914" t="s">
        <v>516</v>
      </c>
      <c r="Y41" s="1914" t="s">
        <v>517</v>
      </c>
      <c r="Z41" s="1913" t="s">
        <v>518</v>
      </c>
      <c r="AA41" s="2962" t="s">
        <v>519</v>
      </c>
      <c r="AB41" s="2963"/>
      <c r="AC41" s="2971"/>
      <c r="AD41" s="2953"/>
      <c r="AE41" s="2976"/>
      <c r="AF41" s="1914" t="s">
        <v>516</v>
      </c>
      <c r="AG41" s="1914" t="s">
        <v>517</v>
      </c>
      <c r="AH41" s="2005" t="s">
        <v>518</v>
      </c>
      <c r="AI41" s="2962" t="s">
        <v>519</v>
      </c>
      <c r="AJ41" s="2963"/>
      <c r="AK41" s="2971"/>
      <c r="AL41" s="23202"/>
      <c r="AM41" s="23203"/>
      <c r="AN41" s="23204" t="s">
        <v>516</v>
      </c>
      <c r="AO41" s="23204" t="s">
        <v>517</v>
      </c>
      <c r="AP41" s="23204" t="s">
        <v>518</v>
      </c>
      <c r="AQ41" s="23205" t="s">
        <v>519</v>
      </c>
      <c r="AR41" s="23206"/>
      <c r="AS41" s="23207"/>
      <c r="AT41" s="23202"/>
      <c r="AU41" s="23203"/>
      <c r="AV41" s="23204" t="s">
        <v>516</v>
      </c>
      <c r="AW41" s="23204" t="s">
        <v>517</v>
      </c>
      <c r="AX41" s="23204" t="s">
        <v>518</v>
      </c>
      <c r="AY41" s="23205" t="s">
        <v>519</v>
      </c>
      <c r="AZ41" s="23206"/>
      <c r="BA41" s="23207"/>
      <c r="BB41" s="23202"/>
      <c r="BC41" s="23203"/>
      <c r="BD41" s="23204" t="s">
        <v>516</v>
      </c>
      <c r="BE41" s="23204" t="s">
        <v>517</v>
      </c>
      <c r="BF41" s="23204" t="s">
        <v>518</v>
      </c>
      <c r="BG41" s="23205" t="s">
        <v>519</v>
      </c>
      <c r="BH41" s="23206"/>
      <c r="BI41" s="23207"/>
      <c r="BJ41" s="23202"/>
      <c r="BK41" s="23203"/>
      <c r="BL41" s="23204" t="s">
        <v>516</v>
      </c>
      <c r="BM41" s="23204" t="s">
        <v>517</v>
      </c>
      <c r="BN41" s="23204" t="s">
        <v>518</v>
      </c>
      <c r="BO41" s="23205" t="s">
        <v>519</v>
      </c>
      <c r="BP41" s="23206"/>
      <c r="BQ41" s="23207"/>
      <c r="BR41" s="2974"/>
      <c r="BS41" s="2819"/>
      <c r="BY41" s="1847">
        <v>34</v>
      </c>
    </row>
    <row s="61193" customFormat="1" customHeight="1" ht="11.25" hidden="1">
      <c r="A42" s="2062"/>
      <c r="B42" s="2062"/>
      <c r="C42" s="2062"/>
      <c r="D42" s="2062"/>
      <c r="E42" s="2062"/>
      <c r="F42" s="2062"/>
      <c r="G42" s="2062"/>
      <c r="H42" s="2062"/>
      <c r="I42" s="2062"/>
      <c r="J42" s="2062"/>
      <c r="K42" s="2062"/>
      <c r="L42" s="2056"/>
      <c r="M42" s="2054"/>
      <c r="N42" s="2054"/>
      <c r="O42" s="2054"/>
      <c r="P42" s="1938"/>
      <c r="Q42" s="1939"/>
      <c r="R42" s="1946">
        <v>1</v>
      </c>
      <c r="S42" s="1969" t="s">
        <v>118</v>
      </c>
      <c r="T42" s="1947" t="s">
        <v>103</v>
      </c>
      <c r="U42" s="1937" t="str">
        <f>OFFSET(U42,0,-1)</f>
        <v>2</v>
      </c>
      <c r="V42" s="1948">
        <f>OFFSET(V42,0,-1)+1</f>
        <v>3</v>
      </c>
      <c r="W42" s="1948"/>
      <c r="X42" s="1948">
        <f>OFFSET(X42,0,-1)+1</f>
        <v>1</v>
      </c>
      <c r="Y42" s="1948">
        <f>OFFSET(Y42,0,-1)+1</f>
        <v>2</v>
      </c>
      <c r="Z42" s="1948">
        <f>OFFSET(Z42,0,-1)+1</f>
        <v>3</v>
      </c>
      <c r="AA42" s="2964">
        <f>OFFSET(AA42,0,-1)+1</f>
        <v>4</v>
      </c>
      <c r="AB42" s="2964"/>
      <c r="AC42" s="1948">
        <f>OFFSET(AC42,0,-2)+1</f>
        <v>5</v>
      </c>
      <c r="AD42" s="2004">
        <f>OFFSET(AD42,0,-1)+1</f>
        <v>6</v>
      </c>
      <c r="AE42" s="2004"/>
      <c r="AF42" s="2004">
        <f>OFFSET(AF42,0,-1)+1</f>
        <v>1</v>
      </c>
      <c r="AG42" s="2004">
        <f>OFFSET(AG42,0,-1)+1</f>
        <v>2</v>
      </c>
      <c r="AH42" s="2004">
        <f>OFFSET(AH42,0,-1)+1</f>
        <v>3</v>
      </c>
      <c r="AI42" s="2964">
        <f>OFFSET(AI42,0,-1)+1</f>
        <v>4</v>
      </c>
      <c r="AJ42" s="2964"/>
      <c r="AK42" s="2004">
        <f>OFFSET(AK42,0,-2)+1</f>
        <v>5</v>
      </c>
      <c r="AL42" s="23218">
        <f>OFFSET(AL42,0,-1)+1</f>
        <v>6</v>
      </c>
      <c r="AM42" s="23218"/>
      <c r="AN42" s="23218">
        <f>OFFSET(AN42,0,-1)+1</f>
        <v>1</v>
      </c>
      <c r="AO42" s="23218">
        <f>OFFSET(AO42,0,-1)+1</f>
        <v>2</v>
      </c>
      <c r="AP42" s="23218">
        <f>OFFSET(AP42,0,-1)+1</f>
        <v>3</v>
      </c>
      <c r="AQ42" s="23218">
        <f>OFFSET(AQ42,0,-1)+1</f>
        <v>4</v>
      </c>
      <c r="AR42" s="23218"/>
      <c r="AS42" s="23218">
        <f>OFFSET(AS42,0,-2)+1</f>
        <v>5</v>
      </c>
      <c r="AT42" s="23218">
        <f>OFFSET(AT42,0,-1)+1</f>
        <v>6</v>
      </c>
      <c r="AU42" s="23218"/>
      <c r="AV42" s="23218">
        <f>OFFSET(AV42,0,-1)+1</f>
        <v>1</v>
      </c>
      <c r="AW42" s="23218">
        <f>OFFSET(AW42,0,-1)+1</f>
        <v>2</v>
      </c>
      <c r="AX42" s="23218">
        <f>OFFSET(AX42,0,-1)+1</f>
        <v>3</v>
      </c>
      <c r="AY42" s="23218">
        <f>OFFSET(AY42,0,-1)+1</f>
        <v>4</v>
      </c>
      <c r="AZ42" s="23218"/>
      <c r="BA42" s="23218">
        <f>OFFSET(BA42,0,-2)+1</f>
        <v>5</v>
      </c>
      <c r="BB42" s="23218">
        <f>OFFSET(BB42,0,-1)+1</f>
        <v>6</v>
      </c>
      <c r="BC42" s="23218"/>
      <c r="BD42" s="23218">
        <f>OFFSET(BD42,0,-1)+1</f>
        <v>1</v>
      </c>
      <c r="BE42" s="23218">
        <f>OFFSET(BE42,0,-1)+1</f>
        <v>2</v>
      </c>
      <c r="BF42" s="23218">
        <f>OFFSET(BF42,0,-1)+1</f>
        <v>3</v>
      </c>
      <c r="BG42" s="23218">
        <f>OFFSET(BG42,0,-1)+1</f>
        <v>4</v>
      </c>
      <c r="BH42" s="23218"/>
      <c r="BI42" s="23218">
        <f>OFFSET(BI42,0,-2)+1</f>
        <v>5</v>
      </c>
      <c r="BJ42" s="23218">
        <f>OFFSET(BJ42,0,-1)+1</f>
        <v>6</v>
      </c>
      <c r="BK42" s="23218"/>
      <c r="BL42" s="23218">
        <f>OFFSET(BL42,0,-1)+1</f>
        <v>1</v>
      </c>
      <c r="BM42" s="23218">
        <f>OFFSET(BM42,0,-1)+1</f>
        <v>2</v>
      </c>
      <c r="BN42" s="23218">
        <f>OFFSET(BN42,0,-1)+1</f>
        <v>3</v>
      </c>
      <c r="BO42" s="23218">
        <f>OFFSET(BO42,0,-1)+1</f>
        <v>4</v>
      </c>
      <c r="BP42" s="23218"/>
      <c r="BQ42" s="23218">
        <f>OFFSET(BQ42,0,-2)+1</f>
        <v>5</v>
      </c>
      <c r="BR42" s="1937">
        <f>OFFSET(BR42,0,-1)</f>
        <v>5</v>
      </c>
      <c r="BS42" s="1948">
        <f>OFFSET(BS42,0,-1)+1</f>
        <v>6</v>
      </c>
      <c r="BT42" s="1203"/>
      <c r="BU42" s="1203"/>
      <c r="BV42" s="1203"/>
      <c r="BW42" s="1203"/>
      <c r="BX42" s="1203"/>
      <c r="BY42" s="1188">
        <v>0</v>
      </c>
    </row>
    <row customHeight="1" ht="24">
      <c r="A43" s="2055" t="s">
        <v>167</v>
      </c>
      <c r="B43" s="2055"/>
      <c r="C43" s="2055"/>
      <c r="D43" s="2055"/>
      <c r="E43" s="2950">
        <v>1</v>
      </c>
      <c r="F43" s="2055"/>
      <c r="G43" s="2055"/>
      <c r="H43" s="2055"/>
      <c r="I43" s="2055"/>
      <c r="J43" s="2055"/>
      <c r="K43" s="2055"/>
      <c r="L43" s="2056"/>
      <c r="M43" s="2057"/>
      <c r="N43" s="2057"/>
      <c r="O43" s="2057"/>
      <c r="P43" s="1053"/>
      <c r="Q43" s="1052"/>
      <c r="R43" s="1047"/>
      <c r="S43" s="1916">
        <f>INDEX(PT_DIFFERENTIATION_NUM_NTAR,MATCH(A43,PT_DIFFERENTIATION_NTAR_ID,0))</f>
        <v>1</v>
      </c>
      <c r="T43" s="990" t="s">
        <v>131</v>
      </c>
      <c r="U43" s="992"/>
      <c r="V43" s="2934"/>
      <c r="W43" s="2935"/>
      <c r="X43" s="2935"/>
      <c r="Y43" s="2935"/>
      <c r="Z43" s="2935"/>
      <c r="AA43" s="2935"/>
      <c r="AB43" s="2935"/>
      <c r="AC43" s="2936"/>
      <c r="AD43" s="2934" t="str">
        <f>INDEX(PT_DIFFERENTIATION_NTAR,MATCH(A43,PT_DIFFERENTIATION_NTAR_ID,0))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AE43" s="2935"/>
      <c r="AF43" s="2935"/>
      <c r="AG43" s="2935"/>
      <c r="AH43" s="2935"/>
      <c r="AI43" s="2935"/>
      <c r="AJ43" s="2935"/>
      <c r="AK43" s="2935"/>
      <c r="AL43" s="22958"/>
      <c r="AM43" s="22959"/>
      <c r="AN43" s="22959"/>
      <c r="AO43" s="22959"/>
      <c r="AP43" s="22959"/>
      <c r="AQ43" s="22959"/>
      <c r="AR43" s="22959"/>
      <c r="AS43" s="22960"/>
      <c r="AT43" s="22958"/>
      <c r="AU43" s="22959"/>
      <c r="AV43" s="22959"/>
      <c r="AW43" s="22959"/>
      <c r="AX43" s="22959"/>
      <c r="AY43" s="22959"/>
      <c r="AZ43" s="22959"/>
      <c r="BA43" s="22960"/>
      <c r="BB43" s="22958"/>
      <c r="BC43" s="22959"/>
      <c r="BD43" s="22959"/>
      <c r="BE43" s="22959"/>
      <c r="BF43" s="22959"/>
      <c r="BG43" s="22959"/>
      <c r="BH43" s="22959"/>
      <c r="BI43" s="22960"/>
      <c r="BJ43" s="22958"/>
      <c r="BK43" s="22959"/>
      <c r="BL43" s="22959"/>
      <c r="BM43" s="22959"/>
      <c r="BN43" s="22959"/>
      <c r="BO43" s="22959"/>
      <c r="BP43" s="22959"/>
      <c r="BQ43" s="22960"/>
      <c r="BR43" s="2936"/>
      <c r="BS43" s="195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1192"/>
      <c r="BV43" s="1192" t="str">
        <f>IF(T43="","",T43)</f>
        <v>Наименование тарифа</v>
      </c>
      <c r="BW43" s="1192"/>
      <c r="BX43" s="1192"/>
      <c r="BY43" s="1847">
        <v>23</v>
      </c>
    </row>
    <row customHeight="1" ht="24">
      <c r="A44" s="2055" t="s">
        <v>167</v>
      </c>
      <c r="B44" s="2055" t="s">
        <v>168</v>
      </c>
      <c r="C44" s="2055"/>
      <c r="D44" s="2055"/>
      <c r="E44" s="2951"/>
      <c r="F44" s="2950">
        <v>1</v>
      </c>
      <c r="G44" s="2055"/>
      <c r="H44" s="2055"/>
      <c r="I44" s="2055"/>
      <c r="J44" s="2055"/>
      <c r="K44" s="2055"/>
      <c r="L44" s="2056"/>
      <c r="M44" s="2057"/>
      <c r="N44" s="2057"/>
      <c r="O44" s="2057"/>
      <c r="P44" s="1214"/>
      <c r="Q44" s="1044"/>
      <c r="R44" s="1045"/>
      <c r="S44" s="1916" t="str">
        <f>INDEX(PT_DIFFERENTIATION_NUM_TER,MATCH(B44,PT_DIFFERENTIATION_TER_ID,0))</f>
        <v>1.1</v>
      </c>
      <c r="T44" s="1000" t="s">
        <v>472</v>
      </c>
      <c r="U44" s="992"/>
      <c r="V44" s="2934"/>
      <c r="W44" s="2935"/>
      <c r="X44" s="2935"/>
      <c r="Y44" s="2935"/>
      <c r="Z44" s="2935"/>
      <c r="AA44" s="2935"/>
      <c r="AB44" s="2935"/>
      <c r="AC44" s="2936"/>
      <c r="AD44" s="2934" t="str">
        <f>INDEX(PT_DIFFERENTIATION_TER,MATCH(B44,PT_DIFFERENTIATION_TER_ID,0))</f>
        <v>Территория 1</v>
      </c>
      <c r="AE44" s="2935"/>
      <c r="AF44" s="2935"/>
      <c r="AG44" s="2935"/>
      <c r="AH44" s="2935"/>
      <c r="AI44" s="2935"/>
      <c r="AJ44" s="2935"/>
      <c r="AK44" s="2935"/>
      <c r="AL44" s="22958"/>
      <c r="AM44" s="22959"/>
      <c r="AN44" s="22959"/>
      <c r="AO44" s="22959"/>
      <c r="AP44" s="22959"/>
      <c r="AQ44" s="22959"/>
      <c r="AR44" s="22959"/>
      <c r="AS44" s="22960"/>
      <c r="AT44" s="22958"/>
      <c r="AU44" s="22959"/>
      <c r="AV44" s="22959"/>
      <c r="AW44" s="22959"/>
      <c r="AX44" s="22959"/>
      <c r="AY44" s="22959"/>
      <c r="AZ44" s="22959"/>
      <c r="BA44" s="22960"/>
      <c r="BB44" s="22958"/>
      <c r="BC44" s="22959"/>
      <c r="BD44" s="22959"/>
      <c r="BE44" s="22959"/>
      <c r="BF44" s="22959"/>
      <c r="BG44" s="22959"/>
      <c r="BH44" s="22959"/>
      <c r="BI44" s="22960"/>
      <c r="BJ44" s="22958"/>
      <c r="BK44" s="22959"/>
      <c r="BL44" s="22959"/>
      <c r="BM44" s="22959"/>
      <c r="BN44" s="22959"/>
      <c r="BO44" s="22959"/>
      <c r="BP44" s="22959"/>
      <c r="BQ44" s="22960"/>
      <c r="BR44" s="2936"/>
      <c r="BS44" s="1950" t="s">
        <v>473</v>
      </c>
      <c r="BU44" s="1192"/>
      <c r="BV44" s="1192" t="str">
        <f>IF(T44="","",T44)</f>
        <v>Территория действия тарифа</v>
      </c>
      <c r="BW44" s="1192"/>
      <c r="BX44" s="1192"/>
      <c r="BY44" s="1847">
        <v>23</v>
      </c>
    </row>
    <row customHeight="1" ht="24">
      <c r="A45" s="2055" t="s">
        <v>167</v>
      </c>
      <c r="B45" s="2055" t="s">
        <v>168</v>
      </c>
      <c r="C45" s="2055" t="s">
        <v>169</v>
      </c>
      <c r="D45" s="2055"/>
      <c r="E45" s="2951"/>
      <c r="F45" s="2951"/>
      <c r="G45" s="2950">
        <v>1</v>
      </c>
      <c r="H45" s="2055"/>
      <c r="I45" s="2055"/>
      <c r="J45" s="2055"/>
      <c r="K45" s="2055"/>
      <c r="L45" s="2056"/>
      <c r="M45" s="2057"/>
      <c r="N45" s="2057"/>
      <c r="O45" s="2057"/>
      <c r="P45" s="1046"/>
      <c r="Q45" s="1044"/>
      <c r="R45" s="1045"/>
      <c r="S45" s="1916" t="str">
        <f>INDEX(PT_DIFFERENTIATION_NUM_CS,MATCH(C45,PT_DIFFERENTIATION_CS_ID,0))</f>
        <v>1.1.1</v>
      </c>
      <c r="T45" s="1001" t="s">
        <v>474</v>
      </c>
      <c r="U45" s="992"/>
      <c r="V45" s="2934"/>
      <c r="W45" s="2935"/>
      <c r="X45" s="2935"/>
      <c r="Y45" s="2935"/>
      <c r="Z45" s="2935"/>
      <c r="AA45" s="2935"/>
      <c r="AB45" s="2935"/>
      <c r="AC45" s="2936"/>
      <c r="AD45" s="2934" t="str">
        <f>INDEX(PT_DIFFERENTIATION_CS,MATCH(C45,PT_DIFFERENTIATION_CS_ID,0))</f>
        <v>без дифференциации</v>
      </c>
      <c r="AE45" s="2935"/>
      <c r="AF45" s="2935"/>
      <c r="AG45" s="2935"/>
      <c r="AH45" s="2935"/>
      <c r="AI45" s="2935"/>
      <c r="AJ45" s="2935"/>
      <c r="AK45" s="2935"/>
      <c r="AL45" s="22958"/>
      <c r="AM45" s="22959"/>
      <c r="AN45" s="22959"/>
      <c r="AO45" s="22959"/>
      <c r="AP45" s="22959"/>
      <c r="AQ45" s="22959"/>
      <c r="AR45" s="22959"/>
      <c r="AS45" s="22960"/>
      <c r="AT45" s="22958"/>
      <c r="AU45" s="22959"/>
      <c r="AV45" s="22959"/>
      <c r="AW45" s="22959"/>
      <c r="AX45" s="22959"/>
      <c r="AY45" s="22959"/>
      <c r="AZ45" s="22959"/>
      <c r="BA45" s="22960"/>
      <c r="BB45" s="22958"/>
      <c r="BC45" s="22959"/>
      <c r="BD45" s="22959"/>
      <c r="BE45" s="22959"/>
      <c r="BF45" s="22959"/>
      <c r="BG45" s="22959"/>
      <c r="BH45" s="22959"/>
      <c r="BI45" s="22960"/>
      <c r="BJ45" s="22958"/>
      <c r="BK45" s="22959"/>
      <c r="BL45" s="22959"/>
      <c r="BM45" s="22959"/>
      <c r="BN45" s="22959"/>
      <c r="BO45" s="22959"/>
      <c r="BP45" s="22959"/>
      <c r="BQ45" s="22960"/>
      <c r="BR45" s="2936"/>
      <c r="BS45" s="1950" t="s">
        <v>475</v>
      </c>
      <c r="BU45" s="1192"/>
      <c r="BV45" s="1192" t="str">
        <f>IF(T45="","",T45)</f>
        <v>Наименование системы теплоснабжения </v>
      </c>
      <c r="BW45" s="1192"/>
      <c r="BX45" s="1192"/>
      <c r="BY45" s="1847">
        <v>23</v>
      </c>
    </row>
    <row customHeight="1" ht="24">
      <c r="A46" s="2055" t="s">
        <v>167</v>
      </c>
      <c r="B46" s="2055" t="s">
        <v>168</v>
      </c>
      <c r="C46" s="2055" t="s">
        <v>169</v>
      </c>
      <c r="D46" s="2055" t="s">
        <v>170</v>
      </c>
      <c r="E46" s="2951"/>
      <c r="F46" s="2951"/>
      <c r="G46" s="2951"/>
      <c r="H46" s="2950">
        <v>1</v>
      </c>
      <c r="I46" s="2055"/>
      <c r="J46" s="2055"/>
      <c r="K46" s="2055"/>
      <c r="L46" s="2056"/>
      <c r="M46" s="2057"/>
      <c r="N46" s="2057"/>
      <c r="O46" s="2057"/>
      <c r="P46" s="1046"/>
      <c r="Q46" s="1044"/>
      <c r="R46" s="1045"/>
      <c r="S46" s="1916" t="str">
        <f>INDEX(PT_DIFFERENTIATION_NUM_IST_TE,MATCH(D46,PT_DIFFERENTIATION_IST_TE_ID,0))</f>
        <v>1.1.1.1</v>
      </c>
      <c r="T46" s="1002" t="s">
        <v>476</v>
      </c>
      <c r="U46" s="992"/>
      <c r="V46" s="2934"/>
      <c r="W46" s="2935"/>
      <c r="X46" s="2935"/>
      <c r="Y46" s="2935"/>
      <c r="Z46" s="2935"/>
      <c r="AA46" s="2935"/>
      <c r="AB46" s="2935"/>
      <c r="AC46" s="2936"/>
      <c r="AD46" s="2934" t="str">
        <f>INDEX(PT_DIFFERENTIATION_IST_TE,MATCH(D46,PT_DIFFERENTIATION_IST_TE_ID,0))</f>
        <v>Артемовская ТЭЦ</v>
      </c>
      <c r="AE46" s="2935"/>
      <c r="AF46" s="2935"/>
      <c r="AG46" s="2935"/>
      <c r="AH46" s="2935"/>
      <c r="AI46" s="2935"/>
      <c r="AJ46" s="2935"/>
      <c r="AK46" s="2935"/>
      <c r="AL46" s="22958"/>
      <c r="AM46" s="22959"/>
      <c r="AN46" s="22959"/>
      <c r="AO46" s="22959"/>
      <c r="AP46" s="22959"/>
      <c r="AQ46" s="22959"/>
      <c r="AR46" s="22959"/>
      <c r="AS46" s="22960"/>
      <c r="AT46" s="22958"/>
      <c r="AU46" s="22959"/>
      <c r="AV46" s="22959"/>
      <c r="AW46" s="22959"/>
      <c r="AX46" s="22959"/>
      <c r="AY46" s="22959"/>
      <c r="AZ46" s="22959"/>
      <c r="BA46" s="22960"/>
      <c r="BB46" s="22958"/>
      <c r="BC46" s="22959"/>
      <c r="BD46" s="22959"/>
      <c r="BE46" s="22959"/>
      <c r="BF46" s="22959"/>
      <c r="BG46" s="22959"/>
      <c r="BH46" s="22959"/>
      <c r="BI46" s="22960"/>
      <c r="BJ46" s="22958"/>
      <c r="BK46" s="22959"/>
      <c r="BL46" s="22959"/>
      <c r="BM46" s="22959"/>
      <c r="BN46" s="22959"/>
      <c r="BO46" s="22959"/>
      <c r="BP46" s="22959"/>
      <c r="BQ46" s="22960"/>
      <c r="BR46" s="2936"/>
      <c r="BS46" s="1950" t="s">
        <v>477</v>
      </c>
      <c r="BU46" s="1192"/>
      <c r="BV46" s="1192" t="str">
        <f>IF(T46="","",T46)</f>
        <v>Источник тепловой энергии  </v>
      </c>
      <c r="BW46" s="1192"/>
      <c r="BX46" s="1192"/>
      <c r="BY46" s="1847">
        <v>23</v>
      </c>
    </row>
    <row customHeight="1" ht="49.5">
      <c r="A47" s="2055" t="s">
        <v>167</v>
      </c>
      <c r="B47" s="2055" t="s">
        <v>168</v>
      </c>
      <c r="C47" s="2055" t="s">
        <v>169</v>
      </c>
      <c r="D47" s="2055" t="s">
        <v>170</v>
      </c>
      <c r="E47" s="2951"/>
      <c r="F47" s="2951"/>
      <c r="G47" s="2951"/>
      <c r="H47" s="2951"/>
      <c r="I47" s="2948" t="str">
        <f>S46&amp;".1"</f>
        <v>1.1.1.1.1</v>
      </c>
      <c r="J47" s="2055"/>
      <c r="K47" s="2055"/>
      <c r="L47" s="2056" t="s">
        <v>478</v>
      </c>
      <c r="P47" s="2949">
        <v>1</v>
      </c>
      <c r="Q47" s="1912"/>
      <c r="R47" s="1048"/>
      <c r="S47" s="1916" t="str">
        <f>$I47</f>
        <v>1.1.1.1.1</v>
      </c>
      <c r="T47" s="977" t="s">
        <v>479</v>
      </c>
      <c r="U47" s="992"/>
      <c r="V47" s="2937"/>
      <c r="W47" s="2938"/>
      <c r="X47" s="2938"/>
      <c r="Y47" s="2938"/>
      <c r="Z47" s="2938"/>
      <c r="AA47" s="2938"/>
      <c r="AB47" s="2938"/>
      <c r="AC47" s="2939"/>
      <c r="AD47" s="2937" t="s">
        <v>520</v>
      </c>
      <c r="AE47" s="2938"/>
      <c r="AF47" s="2938"/>
      <c r="AG47" s="2938"/>
      <c r="AH47" s="2938"/>
      <c r="AI47" s="2938"/>
      <c r="AJ47" s="2938"/>
      <c r="AK47" s="2938"/>
      <c r="AL47" s="22979"/>
      <c r="AM47" s="22980"/>
      <c r="AN47" s="22980"/>
      <c r="AO47" s="22980"/>
      <c r="AP47" s="22980"/>
      <c r="AQ47" s="22980"/>
      <c r="AR47" s="22980"/>
      <c r="AS47" s="22981"/>
      <c r="AT47" s="22979"/>
      <c r="AU47" s="22980"/>
      <c r="AV47" s="22980"/>
      <c r="AW47" s="22980"/>
      <c r="AX47" s="22980"/>
      <c r="AY47" s="22980"/>
      <c r="AZ47" s="22980"/>
      <c r="BA47" s="22981"/>
      <c r="BB47" s="22979"/>
      <c r="BC47" s="22980"/>
      <c r="BD47" s="22980"/>
      <c r="BE47" s="22980"/>
      <c r="BF47" s="22980"/>
      <c r="BG47" s="22980"/>
      <c r="BH47" s="22980"/>
      <c r="BI47" s="22981"/>
      <c r="BJ47" s="22979"/>
      <c r="BK47" s="22980"/>
      <c r="BL47" s="22980"/>
      <c r="BM47" s="22980"/>
      <c r="BN47" s="22980"/>
      <c r="BO47" s="22980"/>
      <c r="BP47" s="22980"/>
      <c r="BQ47" s="22981"/>
      <c r="BR47" s="2939"/>
      <c r="BS47" s="1950" t="s">
        <v>480</v>
      </c>
      <c r="BU47" s="1192"/>
      <c r="BV47" s="1192" t="str">
        <f>IF(T47="","",T47)</f>
        <v>Схема подключения теплопотребляющей установки к коллектору источника тепловой энергии</v>
      </c>
      <c r="BW47" s="1192"/>
      <c r="BX47" s="1192"/>
      <c r="BY47" s="1847">
        <v>47</v>
      </c>
    </row>
    <row customHeight="1" ht="24">
      <c r="A48" s="2055" t="s">
        <v>167</v>
      </c>
      <c r="B48" s="2055" t="s">
        <v>168</v>
      </c>
      <c r="C48" s="2055" t="s">
        <v>169</v>
      </c>
      <c r="D48" s="2055" t="s">
        <v>170</v>
      </c>
      <c r="E48" s="2951"/>
      <c r="F48" s="2951"/>
      <c r="G48" s="2951"/>
      <c r="H48" s="2951"/>
      <c r="I48" s="2978"/>
      <c r="J48" s="2948" t="str">
        <f>I47&amp;".1"</f>
        <v>1.1.1.1.1.1</v>
      </c>
      <c r="K48" s="2055"/>
      <c r="L48" s="2056" t="s">
        <v>481</v>
      </c>
      <c r="P48" s="2949"/>
      <c r="Q48" s="2949">
        <v>1</v>
      </c>
      <c r="R48" s="1049"/>
      <c r="S48" s="1916" t="str">
        <f>$J48</f>
        <v>1.1.1.1.1.1</v>
      </c>
      <c r="T48" s="978" t="s">
        <v>482</v>
      </c>
      <c r="U48" s="992"/>
      <c r="V48" s="2937"/>
      <c r="W48" s="2938"/>
      <c r="X48" s="2938"/>
      <c r="Y48" s="2938"/>
      <c r="Z48" s="2938"/>
      <c r="AA48" s="2938"/>
      <c r="AB48" s="2938"/>
      <c r="AC48" s="2939"/>
      <c r="AD48" s="2937" t="s">
        <v>521</v>
      </c>
      <c r="AE48" s="2938"/>
      <c r="AF48" s="2938"/>
      <c r="AG48" s="2938"/>
      <c r="AH48" s="2938"/>
      <c r="AI48" s="2938"/>
      <c r="AJ48" s="2938"/>
      <c r="AK48" s="2938"/>
      <c r="AL48" s="22979"/>
      <c r="AM48" s="22980"/>
      <c r="AN48" s="22980"/>
      <c r="AO48" s="22980"/>
      <c r="AP48" s="22980"/>
      <c r="AQ48" s="22980"/>
      <c r="AR48" s="22980"/>
      <c r="AS48" s="22981"/>
      <c r="AT48" s="22979"/>
      <c r="AU48" s="22980"/>
      <c r="AV48" s="22980"/>
      <c r="AW48" s="22980"/>
      <c r="AX48" s="22980"/>
      <c r="AY48" s="22980"/>
      <c r="AZ48" s="22980"/>
      <c r="BA48" s="22981"/>
      <c r="BB48" s="22979"/>
      <c r="BC48" s="22980"/>
      <c r="BD48" s="22980"/>
      <c r="BE48" s="22980"/>
      <c r="BF48" s="22980"/>
      <c r="BG48" s="22980"/>
      <c r="BH48" s="22980"/>
      <c r="BI48" s="22981"/>
      <c r="BJ48" s="22979"/>
      <c r="BK48" s="22980"/>
      <c r="BL48" s="22980"/>
      <c r="BM48" s="22980"/>
      <c r="BN48" s="22980"/>
      <c r="BO48" s="22980"/>
      <c r="BP48" s="22980"/>
      <c r="BQ48" s="22981"/>
      <c r="BR48" s="2939"/>
      <c r="BS48" s="1950" t="s">
        <v>483</v>
      </c>
      <c r="BU48" s="1192"/>
      <c r="BV48" s="1192" t="str">
        <f>IF(T48="","",T48)</f>
        <v>Группа потребителей</v>
      </c>
      <c r="BW48" s="1192"/>
      <c r="BX48" s="1192"/>
      <c r="BY48" s="1847">
        <v>23</v>
      </c>
    </row>
    <row customHeight="1" ht="24">
      <c r="A49" s="2055" t="s">
        <v>167</v>
      </c>
      <c r="B49" s="2055" t="s">
        <v>168</v>
      </c>
      <c r="C49" s="2055" t="s">
        <v>169</v>
      </c>
      <c r="D49" s="2055" t="s">
        <v>170</v>
      </c>
      <c r="E49" s="2951"/>
      <c r="F49" s="2951"/>
      <c r="G49" s="2951"/>
      <c r="H49" s="2951"/>
      <c r="I49" s="2978"/>
      <c r="J49" s="2978"/>
      <c r="K49" s="2948" t="str">
        <f>J48&amp;".1"</f>
        <v>1.1.1.1.1.1.1</v>
      </c>
      <c r="L49" s="2056" t="s">
        <v>484</v>
      </c>
      <c r="P49" s="2949"/>
      <c r="Q49" s="2949"/>
      <c r="R49" s="1049">
        <v>1</v>
      </c>
      <c r="S49" s="1916" t="str">
        <f>$K49</f>
        <v>1.1.1.1.1.1.1</v>
      </c>
      <c r="T49" s="2039" t="s">
        <v>522</v>
      </c>
      <c r="U49" s="992"/>
      <c r="V49" s="1443"/>
      <c r="W49" s="1017"/>
      <c r="X49" s="1443"/>
      <c r="Y49" s="1949"/>
      <c r="Z49" s="2957"/>
      <c r="AA49" s="2799" t="s">
        <v>67</v>
      </c>
      <c r="AB49" s="2957"/>
      <c r="AC49" s="2799" t="s">
        <v>67</v>
      </c>
      <c r="AD49" s="1443">
        <v>1927.9</v>
      </c>
      <c r="AE49" s="1017"/>
      <c r="AF49" s="1443">
        <v>1368.41</v>
      </c>
      <c r="AG49" s="1949">
        <v>145.986</v>
      </c>
      <c r="AH49" s="22994">
        <v>45292</v>
      </c>
      <c r="AI49" s="2799" t="s">
        <v>67</v>
      </c>
      <c r="AJ49" s="23222">
        <v>45657</v>
      </c>
      <c r="AK49" s="2799" t="s">
        <v>67</v>
      </c>
      <c r="AL49" s="22991">
        <v>1929.43</v>
      </c>
      <c r="AM49" s="22992"/>
      <c r="AN49" s="22991">
        <v>1389.7</v>
      </c>
      <c r="AO49" s="22993">
        <v>140.842</v>
      </c>
      <c r="AP49" s="22994">
        <v>45658</v>
      </c>
      <c r="AQ49" s="22349" t="s">
        <v>67</v>
      </c>
      <c r="AR49" s="22994">
        <v>46022</v>
      </c>
      <c r="AS49" s="22349" t="s">
        <v>67</v>
      </c>
      <c r="AT49" s="22991">
        <v>2299.2</v>
      </c>
      <c r="AU49" s="22992"/>
      <c r="AV49" s="22991">
        <v>1511.33</v>
      </c>
      <c r="AW49" s="22993">
        <v>195.911</v>
      </c>
      <c r="AX49" s="22994">
        <v>46023</v>
      </c>
      <c r="AY49" s="22349" t="s">
        <v>67</v>
      </c>
      <c r="AZ49" s="22994">
        <v>46387</v>
      </c>
      <c r="BA49" s="22349" t="s">
        <v>67</v>
      </c>
      <c r="BB49" s="22991">
        <v>2134.92</v>
      </c>
      <c r="BC49" s="22992"/>
      <c r="BD49" s="22991">
        <v>1548.99</v>
      </c>
      <c r="BE49" s="22993">
        <v>152.887</v>
      </c>
      <c r="BF49" s="22994">
        <v>46388</v>
      </c>
      <c r="BG49" s="22349" t="s">
        <v>67</v>
      </c>
      <c r="BH49" s="22994">
        <v>46752</v>
      </c>
      <c r="BI49" s="22349" t="s">
        <v>67</v>
      </c>
      <c r="BJ49" s="22991">
        <v>2190.73</v>
      </c>
      <c r="BK49" s="22992"/>
      <c r="BL49" s="22991">
        <v>1614.13</v>
      </c>
      <c r="BM49" s="22993">
        <v>150.451</v>
      </c>
      <c r="BN49" s="22994">
        <v>46753</v>
      </c>
      <c r="BO49" s="22349" t="s">
        <v>67</v>
      </c>
      <c r="BP49" s="22994">
        <v>47118</v>
      </c>
      <c r="BQ49" s="22349" t="s">
        <v>67</v>
      </c>
      <c r="BR49" s="2040"/>
      <c r="BS49" s="2945" t="s">
        <v>485</v>
      </c>
      <c r="BT49" s="1203">
        <f>STRCHECKDATE(V50:BR50)</f>
      </c>
      <c r="BU49" s="1192"/>
      <c r="BV49" s="1192" t="str">
        <f>IF(T49="","",T49)</f>
        <v>вода</v>
      </c>
      <c r="BW49" s="1192"/>
      <c r="BX49" s="1192"/>
      <c r="BY49" s="1847">
        <v>23</v>
      </c>
    </row>
    <row customHeight="1" ht="1.05">
      <c r="A50" s="2055" t="s">
        <v>167</v>
      </c>
      <c r="B50" s="2055" t="s">
        <v>168</v>
      </c>
      <c r="C50" s="2055" t="s">
        <v>169</v>
      </c>
      <c r="D50" s="2055" t="s">
        <v>170</v>
      </c>
      <c r="E50" s="2951"/>
      <c r="F50" s="2951"/>
      <c r="G50" s="2951"/>
      <c r="H50" s="2951"/>
      <c r="I50" s="2978"/>
      <c r="J50" s="2978"/>
      <c r="K50" s="2948"/>
      <c r="L50" s="2056"/>
      <c r="P50" s="2949"/>
      <c r="Q50" s="2949"/>
      <c r="R50" s="1049"/>
      <c r="S50" s="1915"/>
      <c r="T50" s="992"/>
      <c r="U50" s="992"/>
      <c r="V50" s="1017"/>
      <c r="W50" s="1017"/>
      <c r="X50" s="1017"/>
      <c r="Y50" s="1020" t="str">
        <f>Z49&amp;"-"&amp;AB49</f>
        <v>-</v>
      </c>
      <c r="Z50" s="2958"/>
      <c r="AA50" s="2799"/>
      <c r="AB50" s="2958"/>
      <c r="AC50" s="2799"/>
      <c r="AD50" s="1017"/>
      <c r="AE50" s="1017"/>
      <c r="AF50" s="1017"/>
      <c r="AG50" s="1020" t="str">
        <f>AH49&amp;"-"&amp;AJ49</f>
        <v>45292-45657</v>
      </c>
      <c r="AH50" s="2958"/>
      <c r="AI50" s="2799"/>
      <c r="AJ50" s="2980"/>
      <c r="AK50" s="2799"/>
      <c r="AL50" s="22992"/>
      <c r="AM50" s="22992"/>
      <c r="AN50" s="22992"/>
      <c r="AO50" s="22999" t="str">
        <f>AP49&amp;"-"&amp;AR49</f>
        <v>45658-46022</v>
      </c>
      <c r="AP50" s="23000"/>
      <c r="AQ50" s="22349"/>
      <c r="AR50" s="23000"/>
      <c r="AS50" s="22349"/>
      <c r="AT50" s="22992"/>
      <c r="AU50" s="22992"/>
      <c r="AV50" s="22992"/>
      <c r="AW50" s="22999" t="str">
        <f>AX49&amp;"-"&amp;AZ49</f>
        <v>46023-46387</v>
      </c>
      <c r="AX50" s="23000"/>
      <c r="AY50" s="22349"/>
      <c r="AZ50" s="23000"/>
      <c r="BA50" s="22349"/>
      <c r="BB50" s="22992"/>
      <c r="BC50" s="22992"/>
      <c r="BD50" s="22992"/>
      <c r="BE50" s="22999" t="str">
        <f>BF49&amp;"-"&amp;BH49</f>
        <v>46388-46752</v>
      </c>
      <c r="BF50" s="23000"/>
      <c r="BG50" s="22349"/>
      <c r="BH50" s="23000"/>
      <c r="BI50" s="22349"/>
      <c r="BJ50" s="22992"/>
      <c r="BK50" s="22992"/>
      <c r="BL50" s="22992"/>
      <c r="BM50" s="22999" t="str">
        <f>BN49&amp;"-"&amp;BP49</f>
        <v>46753-47118</v>
      </c>
      <c r="BN50" s="23000"/>
      <c r="BO50" s="22349"/>
      <c r="BP50" s="23000"/>
      <c r="BQ50" s="22349"/>
      <c r="BR50" s="2041"/>
      <c r="BS50" s="2946"/>
      <c r="BU50" s="1192"/>
      <c r="BV50" s="1192" t="str">
        <f>IF(T50="","",T50)</f>
        <v/>
      </c>
      <c r="BW50" s="1192"/>
      <c r="BX50" s="1192"/>
      <c r="BY50" s="1847">
        <v>1</v>
      </c>
    </row>
    <row customHeight="1" ht="11.549999999999999">
      <c r="A51" s="2055" t="s">
        <v>167</v>
      </c>
      <c r="B51" s="2055" t="s">
        <v>168</v>
      </c>
      <c r="C51" s="2055" t="s">
        <v>169</v>
      </c>
      <c r="D51" s="2055" t="s">
        <v>170</v>
      </c>
      <c r="E51" s="2951"/>
      <c r="F51" s="2951"/>
      <c r="G51" s="2951"/>
      <c r="H51" s="2951"/>
      <c r="I51" s="2978"/>
      <c r="J51" s="2948"/>
      <c r="K51" s="2055"/>
      <c r="L51" s="2056"/>
      <c r="P51" s="2949"/>
      <c r="Q51" s="2949"/>
      <c r="R51" s="1048"/>
      <c r="S51" s="1970"/>
      <c r="T51" s="980" t="s">
        <v>486</v>
      </c>
      <c r="U51" s="1059"/>
      <c r="V51" s="1059"/>
      <c r="W51" s="1059"/>
      <c r="X51" s="1059"/>
      <c r="Y51" s="1059"/>
      <c r="Z51" s="1059"/>
      <c r="AA51" s="1059"/>
      <c r="AB51" s="1059"/>
      <c r="AC51" s="1059"/>
      <c r="AD51" s="1059"/>
      <c r="AE51" s="1059"/>
      <c r="AF51" s="1059"/>
      <c r="AG51" s="1059"/>
      <c r="AH51" s="1059"/>
      <c r="AI51" s="1059"/>
      <c r="AJ51" s="1059"/>
      <c r="AK51" s="1059"/>
      <c r="AL51" s="23227"/>
      <c r="AM51" s="23228"/>
      <c r="AN51" s="23229"/>
      <c r="AO51" s="23230"/>
      <c r="AP51" s="23231"/>
      <c r="AQ51" s="23232"/>
      <c r="AR51" s="23233"/>
      <c r="AS51" s="23234"/>
      <c r="AT51" s="23235"/>
      <c r="AU51" s="23236"/>
      <c r="AV51" s="23237"/>
      <c r="AW51" s="23238"/>
      <c r="AX51" s="23239"/>
      <c r="AY51" s="23240"/>
      <c r="AZ51" s="23241"/>
      <c r="BA51" s="23242"/>
      <c r="BB51" s="23243"/>
      <c r="BC51" s="23244"/>
      <c r="BD51" s="23245"/>
      <c r="BE51" s="23246"/>
      <c r="BF51" s="23247"/>
      <c r="BG51" s="23248"/>
      <c r="BH51" s="23249"/>
      <c r="BI51" s="23250"/>
      <c r="BJ51" s="23251"/>
      <c r="BK51" s="23252"/>
      <c r="BL51" s="23253"/>
      <c r="BM51" s="23254"/>
      <c r="BN51" s="23255"/>
      <c r="BO51" s="23256"/>
      <c r="BP51" s="23257"/>
      <c r="BQ51" s="23258"/>
      <c r="BR51" s="1016"/>
      <c r="BS51" s="2947"/>
      <c r="BU51" s="1192"/>
      <c r="BV51" s="1192" t="str">
        <f>IF(T51="","",T51)</f>
        <v>Добавить вид теплоносителя (параметры теплоносителя)</v>
      </c>
      <c r="BW51" s="1192"/>
      <c r="BX51" s="1192"/>
      <c r="BY51" s="1847">
        <v>11</v>
      </c>
    </row>
    <row customHeight="1" ht="11.549999999999999">
      <c r="A52" s="2055" t="s">
        <v>167</v>
      </c>
      <c r="B52" s="2055" t="s">
        <v>168</v>
      </c>
      <c r="C52" s="2055" t="s">
        <v>169</v>
      </c>
      <c r="D52" s="2055" t="s">
        <v>170</v>
      </c>
      <c r="E52" s="2951"/>
      <c r="F52" s="2951"/>
      <c r="G52" s="2951"/>
      <c r="H52" s="2951"/>
      <c r="I52" s="2948"/>
      <c r="J52" s="2055"/>
      <c r="K52" s="2055"/>
      <c r="L52" s="2056"/>
      <c r="P52" s="2949"/>
      <c r="Q52" s="1912"/>
      <c r="R52" s="1048"/>
      <c r="S52" s="1970"/>
      <c r="T52" s="979" t="s">
        <v>487</v>
      </c>
      <c r="U52" s="1059"/>
      <c r="V52" s="1059"/>
      <c r="W52" s="1059"/>
      <c r="X52" s="1059"/>
      <c r="Y52" s="1059"/>
      <c r="Z52" s="1059"/>
      <c r="AA52" s="1059"/>
      <c r="AB52" s="1059"/>
      <c r="AC52" s="1058"/>
      <c r="AD52" s="1059"/>
      <c r="AE52" s="1059"/>
      <c r="AF52" s="1059"/>
      <c r="AG52" s="1059"/>
      <c r="AH52" s="1059"/>
      <c r="AI52" s="1059"/>
      <c r="AJ52" s="1059"/>
      <c r="AK52" s="1058"/>
      <c r="AL52" s="23259"/>
      <c r="AM52" s="23260"/>
      <c r="AN52" s="23261"/>
      <c r="AO52" s="23262"/>
      <c r="AP52" s="23263"/>
      <c r="AQ52" s="23264"/>
      <c r="AR52" s="23265"/>
      <c r="AS52" s="23266"/>
      <c r="AT52" s="23267"/>
      <c r="AU52" s="23268"/>
      <c r="AV52" s="23269"/>
      <c r="AW52" s="23270"/>
      <c r="AX52" s="23271"/>
      <c r="AY52" s="23272"/>
      <c r="AZ52" s="23273"/>
      <c r="BA52" s="23274"/>
      <c r="BB52" s="23275"/>
      <c r="BC52" s="23276"/>
      <c r="BD52" s="23277"/>
      <c r="BE52" s="23278"/>
      <c r="BF52" s="23279"/>
      <c r="BG52" s="23280"/>
      <c r="BH52" s="23281"/>
      <c r="BI52" s="23282"/>
      <c r="BJ52" s="23283"/>
      <c r="BK52" s="23284"/>
      <c r="BL52" s="23285"/>
      <c r="BM52" s="23286"/>
      <c r="BN52" s="23287"/>
      <c r="BO52" s="23288"/>
      <c r="BP52" s="23289"/>
      <c r="BQ52" s="23290"/>
      <c r="BR52" s="1059"/>
      <c r="BS52" s="995"/>
      <c r="BU52" s="1192"/>
      <c r="BV52" s="1192" t="str">
        <f>IF(T52="","",T52)</f>
        <v>Добавить группу потребителей</v>
      </c>
      <c r="BW52" s="1192"/>
      <c r="BX52" s="1192"/>
      <c r="BY52" s="1847">
        <v>11</v>
      </c>
    </row>
    <row customHeight="1" ht="14.699999999999998">
      <c r="A53" s="2055" t="s">
        <v>167</v>
      </c>
      <c r="B53" s="2055" t="s">
        <v>168</v>
      </c>
      <c r="C53" s="2055" t="s">
        <v>169</v>
      </c>
      <c r="D53" s="2055" t="s">
        <v>170</v>
      </c>
      <c r="E53" s="2951"/>
      <c r="F53" s="2951"/>
      <c r="G53" s="2951"/>
      <c r="H53" s="2950"/>
      <c r="I53" s="2055"/>
      <c r="J53" s="2055"/>
      <c r="K53" s="2055"/>
      <c r="L53" s="2056"/>
      <c r="M53" s="2057"/>
      <c r="N53" s="2057"/>
      <c r="O53" s="1229"/>
      <c r="P53" s="1052"/>
      <c r="Q53" s="1067"/>
      <c r="R53" s="1047"/>
      <c r="S53" s="1970"/>
      <c r="T53" s="1057" t="s">
        <v>488</v>
      </c>
      <c r="U53" s="1059"/>
      <c r="V53" s="1059"/>
      <c r="W53" s="1059"/>
      <c r="X53" s="1059"/>
      <c r="Y53" s="1059"/>
      <c r="Z53" s="1059"/>
      <c r="AA53" s="1059"/>
      <c r="AB53" s="1059"/>
      <c r="AC53" s="1058"/>
      <c r="AD53" s="1059"/>
      <c r="AE53" s="1059"/>
      <c r="AF53" s="1059"/>
      <c r="AG53" s="1059"/>
      <c r="AH53" s="1059"/>
      <c r="AI53" s="1059"/>
      <c r="AJ53" s="1059"/>
      <c r="AK53" s="1058"/>
      <c r="AL53" s="23291"/>
      <c r="AM53" s="23292"/>
      <c r="AN53" s="23293"/>
      <c r="AO53" s="23294"/>
      <c r="AP53" s="23295"/>
      <c r="AQ53" s="23296"/>
      <c r="AR53" s="23297"/>
      <c r="AS53" s="23298"/>
      <c r="AT53" s="23299"/>
      <c r="AU53" s="23300"/>
      <c r="AV53" s="23301"/>
      <c r="AW53" s="23302"/>
      <c r="AX53" s="23303"/>
      <c r="AY53" s="23304"/>
      <c r="AZ53" s="23305"/>
      <c r="BA53" s="23306"/>
      <c r="BB53" s="23307"/>
      <c r="BC53" s="23308"/>
      <c r="BD53" s="23309"/>
      <c r="BE53" s="23310"/>
      <c r="BF53" s="23311"/>
      <c r="BG53" s="23312"/>
      <c r="BH53" s="23313"/>
      <c r="BI53" s="23314"/>
      <c r="BJ53" s="23315"/>
      <c r="BK53" s="23316"/>
      <c r="BL53" s="23317"/>
      <c r="BM53" s="23318"/>
      <c r="BN53" s="23319"/>
      <c r="BO53" s="23320"/>
      <c r="BP53" s="23321"/>
      <c r="BQ53" s="23322"/>
      <c r="BR53" s="1059"/>
      <c r="BS53" s="995"/>
      <c r="BU53" s="1192"/>
      <c r="BV53" s="1192" t="str">
        <f>IF(T53="","",T53)</f>
        <v>Добавить схему подключения</v>
      </c>
      <c r="BW53" s="1192"/>
      <c r="BX53" s="1192"/>
      <c r="BY53" s="1847">
        <v>14</v>
      </c>
    </row>
    <row s="61695" customFormat="1" customHeight="1" ht="1.05">
      <c r="A54" s="2035" t="s">
        <v>167</v>
      </c>
      <c r="B54" s="2035" t="s">
        <v>168</v>
      </c>
      <c r="C54" s="2035" t="s">
        <v>169</v>
      </c>
      <c r="D54" s="2006"/>
      <c r="E54" s="2951"/>
      <c r="F54" s="2951"/>
      <c r="G54" s="2950"/>
      <c r="H54" s="2006"/>
      <c r="I54" s="2006"/>
      <c r="J54" s="2006"/>
      <c r="K54" s="2006"/>
      <c r="L54" s="2031"/>
      <c r="M54" s="2007"/>
      <c r="N54" s="2007"/>
      <c r="P54" s="2008"/>
      <c r="Q54" s="2009"/>
      <c r="R54" s="2008"/>
      <c r="S54" s="2014"/>
      <c r="T54" s="2017" t="s">
        <v>171</v>
      </c>
      <c r="U54" s="2016"/>
      <c r="V54" s="2016"/>
      <c r="W54" s="2016"/>
      <c r="X54" s="2016"/>
      <c r="Y54" s="2016"/>
      <c r="Z54" s="2016"/>
      <c r="AA54" s="2016"/>
      <c r="AB54" s="2016"/>
      <c r="AC54" s="2016"/>
      <c r="AD54" s="2016"/>
      <c r="AE54" s="2016"/>
      <c r="AF54" s="2016"/>
      <c r="AG54" s="2016"/>
      <c r="AH54" s="2016"/>
      <c r="AI54" s="2016"/>
      <c r="AJ54" s="2016"/>
      <c r="AK54" s="2016"/>
      <c r="AL54" s="23121"/>
      <c r="AM54" s="23121"/>
      <c r="AN54" s="23121"/>
      <c r="AO54" s="23121"/>
      <c r="AP54" s="23121"/>
      <c r="AQ54" s="23121"/>
      <c r="AR54" s="23121"/>
      <c r="AS54" s="23121"/>
      <c r="AT54" s="23121"/>
      <c r="AU54" s="23121"/>
      <c r="AV54" s="23121"/>
      <c r="AW54" s="23121"/>
      <c r="AX54" s="23121"/>
      <c r="AY54" s="23121"/>
      <c r="AZ54" s="23121"/>
      <c r="BA54" s="23121"/>
      <c r="BB54" s="23121"/>
      <c r="BC54" s="23121"/>
      <c r="BD54" s="23121"/>
      <c r="BE54" s="23121"/>
      <c r="BF54" s="23121"/>
      <c r="BG54" s="23121"/>
      <c r="BH54" s="23121"/>
      <c r="BI54" s="23121"/>
      <c r="BJ54" s="23121"/>
      <c r="BK54" s="23121"/>
      <c r="BL54" s="23121"/>
      <c r="BM54" s="23121"/>
      <c r="BN54" s="23121"/>
      <c r="BO54" s="23121"/>
      <c r="BP54" s="23121"/>
      <c r="BQ54" s="23121"/>
      <c r="BR54" s="2016"/>
      <c r="BS54" s="2016"/>
      <c r="BU54" s="1481"/>
      <c r="BV54" s="1481" t="str">
        <f>IF(T54="","",T54)</f>
        <v>Добавить источник для дифференциации</v>
      </c>
      <c r="BW54" s="1481"/>
      <c r="BX54" s="1481"/>
      <c r="BY54" s="1210">
        <v>1</v>
      </c>
    </row>
    <row s="61695" customFormat="1" customHeight="1" ht="1.05">
      <c r="A55" s="2035" t="s">
        <v>167</v>
      </c>
      <c r="B55" s="2035" t="s">
        <v>168</v>
      </c>
      <c r="C55" s="2006"/>
      <c r="D55" s="2006"/>
      <c r="E55" s="2951"/>
      <c r="F55" s="2950"/>
      <c r="G55" s="2006"/>
      <c r="H55" s="2006"/>
      <c r="I55" s="2006"/>
      <c r="J55" s="2006"/>
      <c r="K55" s="2006"/>
      <c r="L55" s="2031"/>
      <c r="M55" s="2013"/>
      <c r="N55" s="2013"/>
      <c r="P55" s="2008"/>
      <c r="Q55" s="2009"/>
      <c r="R55" s="2008"/>
      <c r="S55" s="2014"/>
      <c r="T55" s="2017" t="s">
        <v>172</v>
      </c>
      <c r="U55" s="2016"/>
      <c r="V55" s="2016"/>
      <c r="W55" s="2016"/>
      <c r="X55" s="2016"/>
      <c r="Y55" s="2016"/>
      <c r="Z55" s="2016"/>
      <c r="AA55" s="2016"/>
      <c r="AB55" s="2016"/>
      <c r="AC55" s="2016"/>
      <c r="AD55" s="2016"/>
      <c r="AE55" s="2016"/>
      <c r="AF55" s="2016"/>
      <c r="AG55" s="2016"/>
      <c r="AH55" s="2016"/>
      <c r="AI55" s="2016"/>
      <c r="AJ55" s="2016"/>
      <c r="AK55" s="2016"/>
      <c r="AL55" s="23121"/>
      <c r="AM55" s="23121"/>
      <c r="AN55" s="23121"/>
      <c r="AO55" s="23121"/>
      <c r="AP55" s="23121"/>
      <c r="AQ55" s="23121"/>
      <c r="AR55" s="23121"/>
      <c r="AS55" s="23121"/>
      <c r="AT55" s="23121"/>
      <c r="AU55" s="23121"/>
      <c r="AV55" s="23121"/>
      <c r="AW55" s="23121"/>
      <c r="AX55" s="23121"/>
      <c r="AY55" s="23121"/>
      <c r="AZ55" s="23121"/>
      <c r="BA55" s="23121"/>
      <c r="BB55" s="23121"/>
      <c r="BC55" s="23121"/>
      <c r="BD55" s="23121"/>
      <c r="BE55" s="23121"/>
      <c r="BF55" s="23121"/>
      <c r="BG55" s="23121"/>
      <c r="BH55" s="23121"/>
      <c r="BI55" s="23121"/>
      <c r="BJ55" s="23121"/>
      <c r="BK55" s="23121"/>
      <c r="BL55" s="23121"/>
      <c r="BM55" s="23121"/>
      <c r="BN55" s="23121"/>
      <c r="BO55" s="23121"/>
      <c r="BP55" s="23121"/>
      <c r="BQ55" s="23121"/>
      <c r="BR55" s="2016"/>
      <c r="BS55" s="2016"/>
      <c r="BU55" s="1481"/>
      <c r="BV55" s="1481" t="str">
        <f>IF(T55="","",T55)</f>
        <v>Добавить централизованную систему для дифференциации</v>
      </c>
      <c r="BW55" s="1481"/>
      <c r="BX55" s="1481"/>
      <c r="BY55" s="1210">
        <v>1</v>
      </c>
    </row>
    <row s="61695" customFormat="1" customHeight="1" ht="1.05">
      <c r="A56" s="2035" t="s">
        <v>167</v>
      </c>
      <c r="B56" s="2035"/>
      <c r="C56" s="2035"/>
      <c r="D56" s="2035"/>
      <c r="E56" s="2950"/>
      <c r="F56" s="2035"/>
      <c r="G56" s="2035"/>
      <c r="H56" s="2035"/>
      <c r="I56" s="2035"/>
      <c r="J56" s="2035"/>
      <c r="K56" s="2035"/>
      <c r="L56" s="2038"/>
      <c r="M56" s="2013"/>
      <c r="N56" s="2013"/>
      <c r="O56" s="1210"/>
      <c r="P56" s="1072"/>
      <c r="Q56" s="2036"/>
      <c r="R56" s="1072"/>
      <c r="S56" s="2014"/>
      <c r="T56" s="2017" t="s">
        <v>173</v>
      </c>
      <c r="U56" s="2016"/>
      <c r="V56" s="2016"/>
      <c r="W56" s="2016"/>
      <c r="X56" s="2016"/>
      <c r="Y56" s="2016"/>
      <c r="Z56" s="2016"/>
      <c r="AA56" s="2016"/>
      <c r="AB56" s="2016"/>
      <c r="AC56" s="2016"/>
      <c r="AD56" s="2016"/>
      <c r="AE56" s="2016"/>
      <c r="AF56" s="2016"/>
      <c r="AG56" s="2016"/>
      <c r="AH56" s="2016"/>
      <c r="AI56" s="2016"/>
      <c r="AJ56" s="2016"/>
      <c r="AK56" s="2016"/>
      <c r="AL56" s="23121"/>
      <c r="AM56" s="23121"/>
      <c r="AN56" s="23121"/>
      <c r="AO56" s="23121"/>
      <c r="AP56" s="23121"/>
      <c r="AQ56" s="23121"/>
      <c r="AR56" s="23121"/>
      <c r="AS56" s="23121"/>
      <c r="AT56" s="23121"/>
      <c r="AU56" s="23121"/>
      <c r="AV56" s="23121"/>
      <c r="AW56" s="23121"/>
      <c r="AX56" s="23121"/>
      <c r="AY56" s="23121"/>
      <c r="AZ56" s="23121"/>
      <c r="BA56" s="23121"/>
      <c r="BB56" s="23121"/>
      <c r="BC56" s="23121"/>
      <c r="BD56" s="23121"/>
      <c r="BE56" s="23121"/>
      <c r="BF56" s="23121"/>
      <c r="BG56" s="23121"/>
      <c r="BH56" s="23121"/>
      <c r="BI56" s="23121"/>
      <c r="BJ56" s="23121"/>
      <c r="BK56" s="23121"/>
      <c r="BL56" s="23121"/>
      <c r="BM56" s="23121"/>
      <c r="BN56" s="23121"/>
      <c r="BO56" s="23121"/>
      <c r="BP56" s="23121"/>
      <c r="BQ56" s="23121"/>
      <c r="BR56" s="2016"/>
      <c r="BS56" s="2016"/>
      <c r="BU56" s="1192"/>
      <c r="BV56" s="1192" t="str">
        <f>IF(T56="","",T56)</f>
        <v>Добавить территорию для дифференциации</v>
      </c>
      <c r="BW56" s="1192"/>
      <c r="BX56" s="1192"/>
      <c r="BY56" s="1203">
        <v>1</v>
      </c>
    </row>
    <row s="63225" customFormat="1" customHeight="1" ht="21">
      <c r="A57" s="23328" t="s">
        <v>176</v>
      </c>
      <c r="B57" s="23328"/>
      <c r="C57" s="23328"/>
      <c r="D57" s="23328"/>
      <c r="E57" s="23329" t="s">
        <v>103</v>
      </c>
      <c r="F57" s="23328"/>
      <c r="G57" s="23328"/>
      <c r="H57" s="23328"/>
      <c r="I57" s="23328"/>
      <c r="J57" s="23328"/>
      <c r="K57" s="23328"/>
      <c r="L57" s="23330"/>
      <c r="M57" s="23331"/>
      <c r="N57" s="23331"/>
      <c r="O57" s="23331"/>
      <c r="P57" s="23332"/>
      <c r="Q57" s="23333"/>
      <c r="R57" s="23334"/>
      <c r="S57" s="23335" t="str">
        <f>INDEX(PT_DIFFERENTIATION_NUM_NTAR,MATCH(A57,PT_DIFFERENTIATION_NTAR_ID,0))</f>
        <v>2</v>
      </c>
      <c r="T57" s="23336" t="s">
        <v>131</v>
      </c>
      <c r="U57" s="23337"/>
      <c r="V57" s="22958"/>
      <c r="W57" s="22959"/>
      <c r="X57" s="22959"/>
      <c r="Y57" s="22959"/>
      <c r="Z57" s="22959"/>
      <c r="AA57" s="22959"/>
      <c r="AB57" s="22959"/>
      <c r="AC57" s="22960"/>
      <c r="AD57" s="22958" t="str">
        <f>INDEX(PT_DIFFERENTIATION_NTAR,MATCH(A57,PT_DIFFERENTIATION_NTAR_ID,0))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AE57" s="22959"/>
      <c r="AF57" s="22959"/>
      <c r="AG57" s="22959"/>
      <c r="AH57" s="22959"/>
      <c r="AI57" s="22959"/>
      <c r="AJ57" s="22959"/>
      <c r="AK57" s="22959"/>
      <c r="AL57" s="22958"/>
      <c r="AM57" s="22959"/>
      <c r="AN57" s="22959"/>
      <c r="AO57" s="22959"/>
      <c r="AP57" s="22959"/>
      <c r="AQ57" s="22959"/>
      <c r="AR57" s="22959"/>
      <c r="AS57" s="22960"/>
      <c r="AT57" s="22958"/>
      <c r="AU57" s="22959"/>
      <c r="AV57" s="22959"/>
      <c r="AW57" s="22959"/>
      <c r="AX57" s="22959"/>
      <c r="AY57" s="22959"/>
      <c r="AZ57" s="22959"/>
      <c r="BA57" s="22960"/>
      <c r="BB57" s="22958"/>
      <c r="BC57" s="22959"/>
      <c r="BD57" s="22959"/>
      <c r="BE57" s="22959"/>
      <c r="BF57" s="22959"/>
      <c r="BG57" s="22959"/>
      <c r="BH57" s="22959"/>
      <c r="BI57" s="22960"/>
      <c r="BJ57" s="22958"/>
      <c r="BK57" s="22959"/>
      <c r="BL57" s="22959"/>
      <c r="BM57" s="22959"/>
      <c r="BN57" s="22959"/>
      <c r="BO57" s="22959"/>
      <c r="BP57" s="22959"/>
      <c r="BQ57" s="22960"/>
      <c r="BR57" s="22960"/>
      <c r="BS57" s="23338" t="s">
        <v>471</v>
      </c>
      <c r="BT57" s="23161"/>
      <c r="BU57" s="23339"/>
      <c r="BV57" s="23339" t="str">
        <f>IF(T57="","",T57)</f>
        <v>Наименование тарифа</v>
      </c>
      <c r="BW57" s="23339"/>
      <c r="BX57" s="23339"/>
      <c r="BY57" s="22944">
        <v>0</v>
      </c>
    </row>
    <row s="63225" customFormat="1" customHeight="1" ht="21">
      <c r="A58" s="23328"/>
      <c r="B58" s="23328" t="s">
        <v>177</v>
      </c>
      <c r="C58" s="23328"/>
      <c r="D58" s="23328"/>
      <c r="E58" s="23341">
        <v>1</v>
      </c>
      <c r="F58" s="23329">
        <v>1</v>
      </c>
      <c r="G58" s="23328"/>
      <c r="H58" s="23328"/>
      <c r="I58" s="23328"/>
      <c r="J58" s="23328"/>
      <c r="K58" s="23328"/>
      <c r="L58" s="23330"/>
      <c r="M58" s="23331"/>
      <c r="N58" s="23331"/>
      <c r="O58" s="23331"/>
      <c r="P58" s="23342"/>
      <c r="Q58" s="23343"/>
      <c r="R58" s="23344"/>
      <c r="S58" s="23335" t="str">
        <f>INDEX(PT_DIFFERENTIATION_NUM_TER,MATCH(B58,PT_DIFFERENTIATION_TER_ID,0))</f>
        <v>2.1</v>
      </c>
      <c r="T58" s="23345" t="s">
        <v>472</v>
      </c>
      <c r="U58" s="23337"/>
      <c r="V58" s="22958"/>
      <c r="W58" s="22959"/>
      <c r="X58" s="22959"/>
      <c r="Y58" s="22959"/>
      <c r="Z58" s="22959"/>
      <c r="AA58" s="22959"/>
      <c r="AB58" s="22959"/>
      <c r="AC58" s="22960"/>
      <c r="AD58" s="22958" t="str">
        <f>INDEX(PT_DIFFERENTIATION_TER,MATCH(B58,PT_DIFFERENTIATION_TER_ID,0))</f>
        <v>Территория 2</v>
      </c>
      <c r="AE58" s="22959"/>
      <c r="AF58" s="22959"/>
      <c r="AG58" s="22959"/>
      <c r="AH58" s="22959"/>
      <c r="AI58" s="22959"/>
      <c r="AJ58" s="22959"/>
      <c r="AK58" s="22959"/>
      <c r="AL58" s="22958"/>
      <c r="AM58" s="22959"/>
      <c r="AN58" s="22959"/>
      <c r="AO58" s="22959"/>
      <c r="AP58" s="22959"/>
      <c r="AQ58" s="22959"/>
      <c r="AR58" s="22959"/>
      <c r="AS58" s="22960"/>
      <c r="AT58" s="22958"/>
      <c r="AU58" s="22959"/>
      <c r="AV58" s="22959"/>
      <c r="AW58" s="22959"/>
      <c r="AX58" s="22959"/>
      <c r="AY58" s="22959"/>
      <c r="AZ58" s="22959"/>
      <c r="BA58" s="22960"/>
      <c r="BB58" s="22958"/>
      <c r="BC58" s="22959"/>
      <c r="BD58" s="22959"/>
      <c r="BE58" s="22959"/>
      <c r="BF58" s="22959"/>
      <c r="BG58" s="22959"/>
      <c r="BH58" s="22959"/>
      <c r="BI58" s="22960"/>
      <c r="BJ58" s="22958"/>
      <c r="BK58" s="22959"/>
      <c r="BL58" s="22959"/>
      <c r="BM58" s="22959"/>
      <c r="BN58" s="22959"/>
      <c r="BO58" s="22959"/>
      <c r="BP58" s="22959"/>
      <c r="BQ58" s="22960"/>
      <c r="BR58" s="22960"/>
      <c r="BS58" s="23338" t="s">
        <v>473</v>
      </c>
      <c r="BT58" s="23161"/>
      <c r="BU58" s="23339"/>
      <c r="BV58" s="23339" t="str">
        <f>IF(T58="","",T58)</f>
        <v>Территория действия тарифа</v>
      </c>
      <c r="BW58" s="23339"/>
      <c r="BX58" s="23339"/>
      <c r="BY58" s="22944">
        <v>0</v>
      </c>
    </row>
    <row s="63225" customFormat="1" customHeight="1" ht="23.25">
      <c r="A59" s="23328"/>
      <c r="B59" s="23328"/>
      <c r="C59" s="23328" t="s">
        <v>178</v>
      </c>
      <c r="D59" s="23328"/>
      <c r="E59" s="23341">
        <v>1</v>
      </c>
      <c r="F59" s="23341"/>
      <c r="G59" s="23329">
        <v>1</v>
      </c>
      <c r="H59" s="23328"/>
      <c r="I59" s="23328"/>
      <c r="J59" s="23328"/>
      <c r="K59" s="23328"/>
      <c r="L59" s="23330"/>
      <c r="M59" s="23331"/>
      <c r="N59" s="23331"/>
      <c r="O59" s="23331"/>
      <c r="P59" s="23347"/>
      <c r="Q59" s="23343"/>
      <c r="R59" s="23344"/>
      <c r="S59" s="23335" t="str">
        <f>INDEX(PT_DIFFERENTIATION_NUM_CS,MATCH(C59,PT_DIFFERENTIATION_CS_ID,0))</f>
        <v>2.1.1</v>
      </c>
      <c r="T59" s="23348" t="s">
        <v>474</v>
      </c>
      <c r="U59" s="23337"/>
      <c r="V59" s="22958"/>
      <c r="W59" s="22959"/>
      <c r="X59" s="22959"/>
      <c r="Y59" s="22959"/>
      <c r="Z59" s="22959"/>
      <c r="AA59" s="22959"/>
      <c r="AB59" s="22959"/>
      <c r="AC59" s="22960"/>
      <c r="AD59" s="22958" t="str">
        <f>INDEX(PT_DIFFERENTIATION_CS,MATCH(C59,PT_DIFFERENTIATION_CS_ID,0))</f>
        <v>без дифференциации</v>
      </c>
      <c r="AE59" s="22959"/>
      <c r="AF59" s="22959"/>
      <c r="AG59" s="22959"/>
      <c r="AH59" s="22959"/>
      <c r="AI59" s="22959"/>
      <c r="AJ59" s="22959"/>
      <c r="AK59" s="22959"/>
      <c r="AL59" s="22958"/>
      <c r="AM59" s="22959"/>
      <c r="AN59" s="22959"/>
      <c r="AO59" s="22959"/>
      <c r="AP59" s="22959"/>
      <c r="AQ59" s="22959"/>
      <c r="AR59" s="22959"/>
      <c r="AS59" s="22960"/>
      <c r="AT59" s="22958"/>
      <c r="AU59" s="22959"/>
      <c r="AV59" s="22959"/>
      <c r="AW59" s="22959"/>
      <c r="AX59" s="22959"/>
      <c r="AY59" s="22959"/>
      <c r="AZ59" s="22959"/>
      <c r="BA59" s="22960"/>
      <c r="BB59" s="22958"/>
      <c r="BC59" s="22959"/>
      <c r="BD59" s="22959"/>
      <c r="BE59" s="22959"/>
      <c r="BF59" s="22959"/>
      <c r="BG59" s="22959"/>
      <c r="BH59" s="22959"/>
      <c r="BI59" s="22960"/>
      <c r="BJ59" s="22958"/>
      <c r="BK59" s="22959"/>
      <c r="BL59" s="22959"/>
      <c r="BM59" s="22959"/>
      <c r="BN59" s="22959"/>
      <c r="BO59" s="22959"/>
      <c r="BP59" s="22959"/>
      <c r="BQ59" s="22960"/>
      <c r="BR59" s="22960"/>
      <c r="BS59" s="23338" t="s">
        <v>475</v>
      </c>
      <c r="BT59" s="23161"/>
      <c r="BU59" s="23339"/>
      <c r="BV59" s="23339" t="str">
        <f>IF(T59="","",T59)</f>
        <v>Наименование системы теплоснабжения </v>
      </c>
      <c r="BW59" s="23339"/>
      <c r="BX59" s="23339"/>
      <c r="BY59" s="22944">
        <v>0</v>
      </c>
    </row>
    <row s="63225" customFormat="1" customHeight="1" ht="21">
      <c r="A60" s="23328"/>
      <c r="B60" s="23328"/>
      <c r="C60" s="23328"/>
      <c r="D60" s="23328" t="s">
        <v>179</v>
      </c>
      <c r="E60" s="23341">
        <v>1</v>
      </c>
      <c r="F60" s="23341"/>
      <c r="G60" s="23341"/>
      <c r="H60" s="23329">
        <v>1</v>
      </c>
      <c r="I60" s="23328"/>
      <c r="J60" s="23328"/>
      <c r="K60" s="23328"/>
      <c r="L60" s="23330"/>
      <c r="M60" s="23331"/>
      <c r="N60" s="23331"/>
      <c r="O60" s="23331"/>
      <c r="P60" s="23347"/>
      <c r="Q60" s="23343"/>
      <c r="R60" s="23344"/>
      <c r="S60" s="23335" t="str">
        <f>INDEX(PT_DIFFERENTIATION_NUM_IST_TE,MATCH(D60,PT_DIFFERENTIATION_IST_TE_ID,0))</f>
        <v>2.1.1.1</v>
      </c>
      <c r="T60" s="23350" t="s">
        <v>476</v>
      </c>
      <c r="U60" s="23337"/>
      <c r="V60" s="22958"/>
      <c r="W60" s="22959"/>
      <c r="X60" s="22959"/>
      <c r="Y60" s="22959"/>
      <c r="Z60" s="22959"/>
      <c r="AA60" s="22959"/>
      <c r="AB60" s="22959"/>
      <c r="AC60" s="22960"/>
      <c r="AD60" s="22958" t="str">
        <f>INDEX(PT_DIFFERENTIATION_IST_TE,MATCH(D60,PT_DIFFERENTIATION_IST_TE_ID,0))</f>
        <v>ТЭЦ Восточная</v>
      </c>
      <c r="AE60" s="22959"/>
      <c r="AF60" s="22959"/>
      <c r="AG60" s="22959"/>
      <c r="AH60" s="22959"/>
      <c r="AI60" s="22959"/>
      <c r="AJ60" s="22959"/>
      <c r="AK60" s="22959"/>
      <c r="AL60" s="22958"/>
      <c r="AM60" s="22959"/>
      <c r="AN60" s="22959"/>
      <c r="AO60" s="22959"/>
      <c r="AP60" s="22959"/>
      <c r="AQ60" s="22959"/>
      <c r="AR60" s="22959"/>
      <c r="AS60" s="22960"/>
      <c r="AT60" s="22958"/>
      <c r="AU60" s="22959"/>
      <c r="AV60" s="22959"/>
      <c r="AW60" s="22959"/>
      <c r="AX60" s="22959"/>
      <c r="AY60" s="22959"/>
      <c r="AZ60" s="22959"/>
      <c r="BA60" s="22960"/>
      <c r="BB60" s="22958"/>
      <c r="BC60" s="22959"/>
      <c r="BD60" s="22959"/>
      <c r="BE60" s="22959"/>
      <c r="BF60" s="22959"/>
      <c r="BG60" s="22959"/>
      <c r="BH60" s="22959"/>
      <c r="BI60" s="22960"/>
      <c r="BJ60" s="22958"/>
      <c r="BK60" s="22959"/>
      <c r="BL60" s="22959"/>
      <c r="BM60" s="22959"/>
      <c r="BN60" s="22959"/>
      <c r="BO60" s="22959"/>
      <c r="BP60" s="22959"/>
      <c r="BQ60" s="22960"/>
      <c r="BR60" s="22960"/>
      <c r="BS60" s="23338" t="s">
        <v>477</v>
      </c>
      <c r="BT60" s="23161"/>
      <c r="BU60" s="23339"/>
      <c r="BV60" s="23339" t="str">
        <f>IF(T60="","",T60)</f>
        <v>Источник тепловой энергии  </v>
      </c>
      <c r="BW60" s="23339"/>
      <c r="BX60" s="23339"/>
      <c r="BY60" s="22944">
        <v>0</v>
      </c>
    </row>
    <row s="63225" customFormat="1" customHeight="1" ht="47.25">
      <c r="A61" s="23328"/>
      <c r="B61" s="23328"/>
      <c r="C61" s="23328"/>
      <c r="D61" s="23328"/>
      <c r="E61" s="23341">
        <v>1</v>
      </c>
      <c r="F61" s="23341"/>
      <c r="G61" s="23341"/>
      <c r="H61" s="23341"/>
      <c r="I61" s="23352" t="str">
        <f>S60&amp;".1"</f>
        <v>2.1.1.1.1</v>
      </c>
      <c r="J61" s="23328"/>
      <c r="K61" s="23328"/>
      <c r="L61" s="23330" t="s">
        <v>478</v>
      </c>
      <c r="M61" s="23133"/>
      <c r="N61" s="23353"/>
      <c r="O61" s="23353"/>
      <c r="P61" s="23354">
        <v>1</v>
      </c>
      <c r="Q61" s="23354"/>
      <c r="R61" s="23355"/>
      <c r="S61" s="23335" t="str">
        <f>$I61</f>
        <v>2.1.1.1.1</v>
      </c>
      <c r="T61" s="23356" t="s">
        <v>479</v>
      </c>
      <c r="U61" s="23337"/>
      <c r="V61" s="22979"/>
      <c r="W61" s="22980"/>
      <c r="X61" s="22980"/>
      <c r="Y61" s="22980"/>
      <c r="Z61" s="22980"/>
      <c r="AA61" s="22980"/>
      <c r="AB61" s="22980"/>
      <c r="AC61" s="22981"/>
      <c r="AD61" s="22979" t="s">
        <v>520</v>
      </c>
      <c r="AE61" s="22980"/>
      <c r="AF61" s="22980"/>
      <c r="AG61" s="22980"/>
      <c r="AH61" s="22980"/>
      <c r="AI61" s="22980"/>
      <c r="AJ61" s="22980"/>
      <c r="AK61" s="22980"/>
      <c r="AL61" s="22979"/>
      <c r="AM61" s="22980"/>
      <c r="AN61" s="22980"/>
      <c r="AO61" s="22980"/>
      <c r="AP61" s="22980"/>
      <c r="AQ61" s="22980"/>
      <c r="AR61" s="22980"/>
      <c r="AS61" s="22981"/>
      <c r="AT61" s="22979"/>
      <c r="AU61" s="22980"/>
      <c r="AV61" s="22980"/>
      <c r="AW61" s="22980"/>
      <c r="AX61" s="22980"/>
      <c r="AY61" s="22980"/>
      <c r="AZ61" s="22980"/>
      <c r="BA61" s="22981"/>
      <c r="BB61" s="22979"/>
      <c r="BC61" s="22980"/>
      <c r="BD61" s="22980"/>
      <c r="BE61" s="22980"/>
      <c r="BF61" s="22980"/>
      <c r="BG61" s="22980"/>
      <c r="BH61" s="22980"/>
      <c r="BI61" s="22981"/>
      <c r="BJ61" s="22979"/>
      <c r="BK61" s="22980"/>
      <c r="BL61" s="22980"/>
      <c r="BM61" s="22980"/>
      <c r="BN61" s="22980"/>
      <c r="BO61" s="22980"/>
      <c r="BP61" s="22980"/>
      <c r="BQ61" s="22981"/>
      <c r="BR61" s="22981"/>
      <c r="BS61" s="23338" t="s">
        <v>480</v>
      </c>
      <c r="BT61" s="23161"/>
      <c r="BU61" s="23339"/>
      <c r="BV61" s="23339" t="str">
        <f>IF(T61="","",T61)</f>
        <v>Схема подключения теплопотребляющей установки к коллектору источника тепловой энергии</v>
      </c>
      <c r="BW61" s="23339"/>
      <c r="BX61" s="23339"/>
      <c r="BY61" s="22944">
        <v>0</v>
      </c>
    </row>
    <row s="63225" customFormat="1" customHeight="1" ht="21">
      <c r="A62" s="23328"/>
      <c r="B62" s="23328"/>
      <c r="C62" s="23328"/>
      <c r="D62" s="23328"/>
      <c r="E62" s="23341">
        <v>1</v>
      </c>
      <c r="F62" s="23341"/>
      <c r="G62" s="23341"/>
      <c r="H62" s="23341"/>
      <c r="I62" s="23358"/>
      <c r="J62" s="23352" t="str">
        <f>I61&amp;".1"</f>
        <v>2.1.1.1.1.1</v>
      </c>
      <c r="K62" s="23328"/>
      <c r="L62" s="23330" t="s">
        <v>481</v>
      </c>
      <c r="M62" s="23133"/>
      <c r="N62" s="23133"/>
      <c r="O62" s="23353"/>
      <c r="P62" s="23354"/>
      <c r="Q62" s="23354">
        <v>1</v>
      </c>
      <c r="R62" s="23359"/>
      <c r="S62" s="23335" t="str">
        <f>$J62</f>
        <v>2.1.1.1.1.1</v>
      </c>
      <c r="T62" s="23360" t="s">
        <v>482</v>
      </c>
      <c r="U62" s="23337"/>
      <c r="V62" s="22979"/>
      <c r="W62" s="22980"/>
      <c r="X62" s="22980"/>
      <c r="Y62" s="22980"/>
      <c r="Z62" s="22980"/>
      <c r="AA62" s="22980"/>
      <c r="AB62" s="22980"/>
      <c r="AC62" s="22981"/>
      <c r="AD62" s="22979" t="s">
        <v>521</v>
      </c>
      <c r="AE62" s="22980"/>
      <c r="AF62" s="22980"/>
      <c r="AG62" s="22980"/>
      <c r="AH62" s="22980"/>
      <c r="AI62" s="22980"/>
      <c r="AJ62" s="22980"/>
      <c r="AK62" s="22980"/>
      <c r="AL62" s="22979"/>
      <c r="AM62" s="22980"/>
      <c r="AN62" s="22980"/>
      <c r="AO62" s="22980"/>
      <c r="AP62" s="22980"/>
      <c r="AQ62" s="22980"/>
      <c r="AR62" s="22980"/>
      <c r="AS62" s="22981"/>
      <c r="AT62" s="22979"/>
      <c r="AU62" s="22980"/>
      <c r="AV62" s="22980"/>
      <c r="AW62" s="22980"/>
      <c r="AX62" s="22980"/>
      <c r="AY62" s="22980"/>
      <c r="AZ62" s="22980"/>
      <c r="BA62" s="22981"/>
      <c r="BB62" s="22979"/>
      <c r="BC62" s="22980"/>
      <c r="BD62" s="22980"/>
      <c r="BE62" s="22980"/>
      <c r="BF62" s="22980"/>
      <c r="BG62" s="22980"/>
      <c r="BH62" s="22980"/>
      <c r="BI62" s="22981"/>
      <c r="BJ62" s="22979"/>
      <c r="BK62" s="22980"/>
      <c r="BL62" s="22980"/>
      <c r="BM62" s="22980"/>
      <c r="BN62" s="22980"/>
      <c r="BO62" s="22980"/>
      <c r="BP62" s="22980"/>
      <c r="BQ62" s="22981"/>
      <c r="BR62" s="22981"/>
      <c r="BS62" s="23338" t="s">
        <v>483</v>
      </c>
      <c r="BT62" s="23161"/>
      <c r="BU62" s="23339"/>
      <c r="BV62" s="23339" t="str">
        <f>IF(T62="","",T62)</f>
        <v>Группа потребителей</v>
      </c>
      <c r="BW62" s="23339"/>
      <c r="BX62" s="23339"/>
      <c r="BY62" s="22944">
        <v>0</v>
      </c>
    </row>
    <row s="63225" customFormat="1" customHeight="1" ht="21">
      <c r="A63" s="23328"/>
      <c r="B63" s="23328"/>
      <c r="C63" s="23328"/>
      <c r="D63" s="23328"/>
      <c r="E63" s="23341">
        <v>1</v>
      </c>
      <c r="F63" s="23341"/>
      <c r="G63" s="23341"/>
      <c r="H63" s="23341"/>
      <c r="I63" s="23358"/>
      <c r="J63" s="23358"/>
      <c r="K63" s="23352" t="str">
        <f>J62&amp;".1"</f>
        <v>2.1.1.1.1.1.1</v>
      </c>
      <c r="L63" s="23330" t="s">
        <v>484</v>
      </c>
      <c r="M63" s="23133"/>
      <c r="N63" s="23133"/>
      <c r="O63" s="23133"/>
      <c r="P63" s="23354"/>
      <c r="Q63" s="23354"/>
      <c r="R63" s="23359">
        <v>1</v>
      </c>
      <c r="S63" s="23335" t="str">
        <f>$K63</f>
        <v>2.1.1.1.1.1.1</v>
      </c>
      <c r="T63" s="23362" t="s">
        <v>522</v>
      </c>
      <c r="U63" s="23337"/>
      <c r="V63" s="22991"/>
      <c r="W63" s="22992"/>
      <c r="X63" s="22991"/>
      <c r="Y63" s="22993"/>
      <c r="Z63" s="22994"/>
      <c r="AA63" s="22349" t="s">
        <v>67</v>
      </c>
      <c r="AB63" s="22994"/>
      <c r="AC63" s="22349" t="s">
        <v>67</v>
      </c>
      <c r="AD63" s="22991">
        <v>1527.22</v>
      </c>
      <c r="AE63" s="22992"/>
      <c r="AF63" s="22991">
        <v>1065.77</v>
      </c>
      <c r="AG63" s="22993">
        <v>84.508</v>
      </c>
      <c r="AH63" s="22994">
        <v>45292</v>
      </c>
      <c r="AI63" s="22349" t="s">
        <v>67</v>
      </c>
      <c r="AJ63" s="22994">
        <v>45657</v>
      </c>
      <c r="AK63" s="22349" t="s">
        <v>67</v>
      </c>
      <c r="AL63" s="22991">
        <v>1391.91</v>
      </c>
      <c r="AM63" s="22992"/>
      <c r="AN63" s="22991">
        <v>1031.9</v>
      </c>
      <c r="AO63" s="22993">
        <v>65.539</v>
      </c>
      <c r="AP63" s="22994">
        <v>45658</v>
      </c>
      <c r="AQ63" s="22349" t="s">
        <v>67</v>
      </c>
      <c r="AR63" s="22994">
        <v>46022</v>
      </c>
      <c r="AS63" s="22349" t="s">
        <v>67</v>
      </c>
      <c r="AT63" s="22991">
        <v>3089.65</v>
      </c>
      <c r="AU63" s="22992"/>
      <c r="AV63" s="22991">
        <v>1255.35</v>
      </c>
      <c r="AW63" s="22993">
        <v>355.10375</v>
      </c>
      <c r="AX63" s="22994">
        <v>46023</v>
      </c>
      <c r="AY63" s="22349" t="s">
        <v>67</v>
      </c>
      <c r="AZ63" s="22994">
        <v>46387</v>
      </c>
      <c r="BA63" s="22349" t="s">
        <v>67</v>
      </c>
      <c r="BB63" s="22991">
        <v>1736.53</v>
      </c>
      <c r="BC63" s="22992"/>
      <c r="BD63" s="22991">
        <v>1302.37</v>
      </c>
      <c r="BE63" s="22993">
        <v>79.51</v>
      </c>
      <c r="BF63" s="22994">
        <v>46388</v>
      </c>
      <c r="BG63" s="22349" t="s">
        <v>67</v>
      </c>
      <c r="BH63" s="22994">
        <v>46752</v>
      </c>
      <c r="BI63" s="22349" t="s">
        <v>67</v>
      </c>
      <c r="BJ63" s="22991">
        <v>1817.27</v>
      </c>
      <c r="BK63" s="22992"/>
      <c r="BL63" s="22991">
        <v>1392.5</v>
      </c>
      <c r="BM63" s="22993">
        <v>77.79</v>
      </c>
      <c r="BN63" s="22994">
        <v>46753</v>
      </c>
      <c r="BO63" s="22349" t="s">
        <v>67</v>
      </c>
      <c r="BP63" s="22994">
        <v>47118</v>
      </c>
      <c r="BQ63" s="22349" t="s">
        <v>67</v>
      </c>
      <c r="BR63" s="22992"/>
      <c r="BS63" s="23363" t="s">
        <v>485</v>
      </c>
      <c r="BT63" s="23161">
        <f>STRCHECKDATE(V64:BR64)</f>
      </c>
      <c r="BU63" s="23339"/>
      <c r="BV63" s="23339" t="str">
        <f>IF(T63="","",T63)</f>
        <v>вода</v>
      </c>
      <c r="BW63" s="23339"/>
      <c r="BX63" s="23339"/>
      <c r="BY63" s="22944">
        <v>0</v>
      </c>
    </row>
    <row s="63225" customFormat="1" customHeight="1" ht="0.75">
      <c r="A64" s="23328"/>
      <c r="B64" s="23328"/>
      <c r="C64" s="23328"/>
      <c r="D64" s="23328"/>
      <c r="E64" s="23341">
        <v>1</v>
      </c>
      <c r="F64" s="23341"/>
      <c r="G64" s="23341"/>
      <c r="H64" s="23341"/>
      <c r="I64" s="23358"/>
      <c r="J64" s="23358"/>
      <c r="K64" s="23352"/>
      <c r="L64" s="23330"/>
      <c r="M64" s="23133"/>
      <c r="N64" s="23133"/>
      <c r="O64" s="23133"/>
      <c r="P64" s="23354"/>
      <c r="Q64" s="23354"/>
      <c r="R64" s="23359"/>
      <c r="S64" s="23365"/>
      <c r="T64" s="23337"/>
      <c r="U64" s="23337"/>
      <c r="V64" s="22992"/>
      <c r="W64" s="22992"/>
      <c r="X64" s="22992"/>
      <c r="Y64" s="22999" t="str">
        <f>Z63&amp;"-"&amp;AB63</f>
        <v>-</v>
      </c>
      <c r="Z64" s="23000"/>
      <c r="AA64" s="22349"/>
      <c r="AB64" s="23000"/>
      <c r="AC64" s="22349"/>
      <c r="AD64" s="22992"/>
      <c r="AE64" s="22992"/>
      <c r="AF64" s="22992"/>
      <c r="AG64" s="22999" t="str">
        <f>AH63&amp;"-"&amp;AJ63</f>
        <v>45292-45657</v>
      </c>
      <c r="AH64" s="23000"/>
      <c r="AI64" s="22349"/>
      <c r="AJ64" s="23000"/>
      <c r="AK64" s="22349"/>
      <c r="AL64" s="22992"/>
      <c r="AM64" s="22992"/>
      <c r="AN64" s="22992"/>
      <c r="AO64" s="22999" t="str">
        <f>AP63&amp;"-"&amp;AR63</f>
        <v>45658-46022</v>
      </c>
      <c r="AP64" s="23000"/>
      <c r="AQ64" s="22349"/>
      <c r="AR64" s="23000"/>
      <c r="AS64" s="22349"/>
      <c r="AT64" s="22992"/>
      <c r="AU64" s="22992"/>
      <c r="AV64" s="22992"/>
      <c r="AW64" s="22999" t="str">
        <f>AX63&amp;"-"&amp;AZ63</f>
        <v>46023-46387</v>
      </c>
      <c r="AX64" s="23000"/>
      <c r="AY64" s="22349"/>
      <c r="AZ64" s="23000"/>
      <c r="BA64" s="22349"/>
      <c r="BB64" s="22992"/>
      <c r="BC64" s="22992"/>
      <c r="BD64" s="22992"/>
      <c r="BE64" s="22999" t="str">
        <f>BF63&amp;"-"&amp;BH63</f>
        <v>46388-46752</v>
      </c>
      <c r="BF64" s="23000"/>
      <c r="BG64" s="22349"/>
      <c r="BH64" s="23000"/>
      <c r="BI64" s="22349"/>
      <c r="BJ64" s="22992"/>
      <c r="BK64" s="22992"/>
      <c r="BL64" s="22992"/>
      <c r="BM64" s="22999" t="str">
        <f>BN63&amp;"-"&amp;BP63</f>
        <v>46753-47118</v>
      </c>
      <c r="BN64" s="23000"/>
      <c r="BO64" s="22349"/>
      <c r="BP64" s="23000"/>
      <c r="BQ64" s="22349"/>
      <c r="BR64" s="22992"/>
      <c r="BS64" s="23366"/>
      <c r="BT64" s="23161"/>
      <c r="BU64" s="23339"/>
      <c r="BV64" s="23339" t="str">
        <f>IF(T64="","",T64)</f>
        <v/>
      </c>
      <c r="BW64" s="23339"/>
      <c r="BX64" s="23339"/>
      <c r="BY64" s="22944">
        <v>0</v>
      </c>
    </row>
    <row s="63225" customFormat="1" customHeight="1" ht="15">
      <c r="A65" s="23328"/>
      <c r="B65" s="23328"/>
      <c r="C65" s="23328"/>
      <c r="D65" s="23328"/>
      <c r="E65" s="23341">
        <v>1</v>
      </c>
      <c r="F65" s="23341"/>
      <c r="G65" s="23341"/>
      <c r="H65" s="23341"/>
      <c r="I65" s="23358"/>
      <c r="J65" s="23352"/>
      <c r="K65" s="23328"/>
      <c r="L65" s="23330"/>
      <c r="M65" s="23133"/>
      <c r="N65" s="23133"/>
      <c r="O65" s="23353"/>
      <c r="P65" s="23354"/>
      <c r="Q65" s="23354"/>
      <c r="R65" s="23355"/>
      <c r="S65" s="23368"/>
      <c r="T65" s="23369" t="s">
        <v>486</v>
      </c>
      <c r="U65" s="23370"/>
      <c r="V65" s="23371"/>
      <c r="W65" s="23372"/>
      <c r="X65" s="23373"/>
      <c r="Y65" s="23374"/>
      <c r="Z65" s="23375"/>
      <c r="AA65" s="23376"/>
      <c r="AB65" s="23377"/>
      <c r="AC65" s="23378"/>
      <c r="AD65" s="23379"/>
      <c r="AE65" s="23380"/>
      <c r="AF65" s="23381"/>
      <c r="AG65" s="23382"/>
      <c r="AH65" s="23383"/>
      <c r="AI65" s="23384"/>
      <c r="AJ65" s="23385"/>
      <c r="AK65" s="23386"/>
      <c r="AL65" s="23387"/>
      <c r="AM65" s="23388"/>
      <c r="AN65" s="23389"/>
      <c r="AO65" s="23390"/>
      <c r="AP65" s="23391"/>
      <c r="AQ65" s="23392"/>
      <c r="AR65" s="23393"/>
      <c r="AS65" s="23394"/>
      <c r="AT65" s="23395"/>
      <c r="AU65" s="23396"/>
      <c r="AV65" s="23397"/>
      <c r="AW65" s="23398"/>
      <c r="AX65" s="23399"/>
      <c r="AY65" s="23400"/>
      <c r="AZ65" s="23401"/>
      <c r="BA65" s="23402"/>
      <c r="BB65" s="23403"/>
      <c r="BC65" s="23404"/>
      <c r="BD65" s="23405"/>
      <c r="BE65" s="23406"/>
      <c r="BF65" s="23407"/>
      <c r="BG65" s="23408"/>
      <c r="BH65" s="23409"/>
      <c r="BI65" s="23410"/>
      <c r="BJ65" s="23411"/>
      <c r="BK65" s="23412"/>
      <c r="BL65" s="23413"/>
      <c r="BM65" s="23414"/>
      <c r="BN65" s="23415"/>
      <c r="BO65" s="23416"/>
      <c r="BP65" s="23417"/>
      <c r="BQ65" s="23418"/>
      <c r="BR65" s="23419"/>
      <c r="BS65" s="23420"/>
      <c r="BT65" s="23161"/>
      <c r="BU65" s="23339"/>
      <c r="BV65" s="23339" t="str">
        <f>IF(T65="","",T65)</f>
        <v>Добавить вид теплоносителя (параметры теплоносителя)</v>
      </c>
      <c r="BW65" s="23339"/>
      <c r="BX65" s="23339"/>
      <c r="BY65" s="22944">
        <v>0</v>
      </c>
    </row>
    <row s="63225" customFormat="1" customHeight="1" ht="15">
      <c r="A66" s="23328"/>
      <c r="B66" s="23328"/>
      <c r="C66" s="23328"/>
      <c r="D66" s="23328"/>
      <c r="E66" s="23341">
        <v>1</v>
      </c>
      <c r="F66" s="23341"/>
      <c r="G66" s="23341"/>
      <c r="H66" s="23341"/>
      <c r="I66" s="23352"/>
      <c r="J66" s="23328"/>
      <c r="K66" s="23328"/>
      <c r="L66" s="23330"/>
      <c r="M66" s="23133"/>
      <c r="N66" s="23353"/>
      <c r="O66" s="23353"/>
      <c r="P66" s="23354"/>
      <c r="Q66" s="23354"/>
      <c r="R66" s="23355"/>
      <c r="S66" s="23422"/>
      <c r="T66" s="23423" t="s">
        <v>487</v>
      </c>
      <c r="U66" s="23424"/>
      <c r="V66" s="23425"/>
      <c r="W66" s="23426"/>
      <c r="X66" s="23427"/>
      <c r="Y66" s="23428"/>
      <c r="Z66" s="23429"/>
      <c r="AA66" s="23430"/>
      <c r="AB66" s="23431"/>
      <c r="AC66" s="23432"/>
      <c r="AD66" s="23433"/>
      <c r="AE66" s="23434"/>
      <c r="AF66" s="23435"/>
      <c r="AG66" s="23436"/>
      <c r="AH66" s="23437"/>
      <c r="AI66" s="23438"/>
      <c r="AJ66" s="23439"/>
      <c r="AK66" s="23440"/>
      <c r="AL66" s="23441"/>
      <c r="AM66" s="23442"/>
      <c r="AN66" s="23443"/>
      <c r="AO66" s="23444"/>
      <c r="AP66" s="23445"/>
      <c r="AQ66" s="23446"/>
      <c r="AR66" s="23447"/>
      <c r="AS66" s="23448"/>
      <c r="AT66" s="23449"/>
      <c r="AU66" s="23450"/>
      <c r="AV66" s="23451"/>
      <c r="AW66" s="23452"/>
      <c r="AX66" s="23453"/>
      <c r="AY66" s="23454"/>
      <c r="AZ66" s="23455"/>
      <c r="BA66" s="23456"/>
      <c r="BB66" s="23457"/>
      <c r="BC66" s="23458"/>
      <c r="BD66" s="23459"/>
      <c r="BE66" s="23460"/>
      <c r="BF66" s="23461"/>
      <c r="BG66" s="23462"/>
      <c r="BH66" s="23463"/>
      <c r="BI66" s="23464"/>
      <c r="BJ66" s="23465"/>
      <c r="BK66" s="23466"/>
      <c r="BL66" s="23467"/>
      <c r="BM66" s="23468"/>
      <c r="BN66" s="23469"/>
      <c r="BO66" s="23470"/>
      <c r="BP66" s="23471"/>
      <c r="BQ66" s="23472"/>
      <c r="BR66" s="23473"/>
      <c r="BS66" s="23474"/>
      <c r="BT66" s="23161"/>
      <c r="BU66" s="23339"/>
      <c r="BV66" s="23339" t="str">
        <f>IF(T66="","",T66)</f>
        <v>Добавить группу потребителей</v>
      </c>
      <c r="BW66" s="23339"/>
      <c r="BX66" s="23339"/>
      <c r="BY66" s="22944">
        <v>0</v>
      </c>
    </row>
    <row s="63225" customFormat="1" customHeight="1" ht="14.25">
      <c r="A67" s="23328"/>
      <c r="B67" s="23328"/>
      <c r="C67" s="23328"/>
      <c r="D67" s="23328"/>
      <c r="E67" s="23341">
        <v>1</v>
      </c>
      <c r="F67" s="23341"/>
      <c r="G67" s="23341"/>
      <c r="H67" s="23329"/>
      <c r="I67" s="23328"/>
      <c r="J67" s="23328"/>
      <c r="K67" s="23328"/>
      <c r="L67" s="23330"/>
      <c r="M67" s="23331"/>
      <c r="N67" s="23331"/>
      <c r="O67" s="23133"/>
      <c r="P67" s="23333"/>
      <c r="Q67" s="23476"/>
      <c r="R67" s="23334"/>
      <c r="S67" s="23477"/>
      <c r="T67" s="23478" t="s">
        <v>488</v>
      </c>
      <c r="U67" s="23479"/>
      <c r="V67" s="23480"/>
      <c r="W67" s="23481"/>
      <c r="X67" s="23482"/>
      <c r="Y67" s="23483"/>
      <c r="Z67" s="23484"/>
      <c r="AA67" s="23485"/>
      <c r="AB67" s="23486"/>
      <c r="AC67" s="23487"/>
      <c r="AD67" s="23488"/>
      <c r="AE67" s="23489"/>
      <c r="AF67" s="23490"/>
      <c r="AG67" s="23491"/>
      <c r="AH67" s="23492"/>
      <c r="AI67" s="23493"/>
      <c r="AJ67" s="23494"/>
      <c r="AK67" s="23495"/>
      <c r="AL67" s="23496"/>
      <c r="AM67" s="23497"/>
      <c r="AN67" s="23498"/>
      <c r="AO67" s="23499"/>
      <c r="AP67" s="23500"/>
      <c r="AQ67" s="23501"/>
      <c r="AR67" s="23502"/>
      <c r="AS67" s="23503"/>
      <c r="AT67" s="23504"/>
      <c r="AU67" s="23505"/>
      <c r="AV67" s="23506"/>
      <c r="AW67" s="23507"/>
      <c r="AX67" s="23508"/>
      <c r="AY67" s="23509"/>
      <c r="AZ67" s="23510"/>
      <c r="BA67" s="23511"/>
      <c r="BB67" s="23512"/>
      <c r="BC67" s="23513"/>
      <c r="BD67" s="23514"/>
      <c r="BE67" s="23515"/>
      <c r="BF67" s="23516"/>
      <c r="BG67" s="23517"/>
      <c r="BH67" s="23518"/>
      <c r="BI67" s="23519"/>
      <c r="BJ67" s="23520"/>
      <c r="BK67" s="23521"/>
      <c r="BL67" s="23522"/>
      <c r="BM67" s="23523"/>
      <c r="BN67" s="23524"/>
      <c r="BO67" s="23525"/>
      <c r="BP67" s="23526"/>
      <c r="BQ67" s="23527"/>
      <c r="BR67" s="23528"/>
      <c r="BS67" s="23529"/>
      <c r="BT67" s="23161"/>
      <c r="BU67" s="23339"/>
      <c r="BV67" s="23339" t="str">
        <f>IF(T67="","",T67)</f>
        <v>Добавить схему подключения</v>
      </c>
      <c r="BW67" s="23339"/>
      <c r="BX67" s="23339"/>
      <c r="BY67" s="22944">
        <v>0</v>
      </c>
    </row>
    <row s="61685" customFormat="1" customHeight="1" ht="0.75">
      <c r="A68" s="23531"/>
      <c r="B68" s="23531"/>
      <c r="C68" s="23531"/>
      <c r="D68" s="23531"/>
      <c r="E68" s="23341">
        <v>1</v>
      </c>
      <c r="F68" s="23341"/>
      <c r="G68" s="23329"/>
      <c r="H68" s="23531"/>
      <c r="I68" s="23531"/>
      <c r="J68" s="23531"/>
      <c r="K68" s="23531"/>
      <c r="L68" s="23532"/>
      <c r="M68" s="23533"/>
      <c r="N68" s="23533"/>
      <c r="O68" s="23161"/>
      <c r="P68" s="23534"/>
      <c r="Q68" s="23535"/>
      <c r="R68" s="23534"/>
      <c r="S68" s="23536"/>
      <c r="T68" s="23537" t="s">
        <v>171</v>
      </c>
      <c r="U68" s="23115"/>
      <c r="V68" s="23115"/>
      <c r="W68" s="23115"/>
      <c r="X68" s="23115"/>
      <c r="Y68" s="23115"/>
      <c r="Z68" s="23115"/>
      <c r="AA68" s="23115"/>
      <c r="AB68" s="23115"/>
      <c r="AC68" s="23115"/>
      <c r="AD68" s="23115"/>
      <c r="AE68" s="23115"/>
      <c r="AF68" s="23115"/>
      <c r="AG68" s="23115"/>
      <c r="AH68" s="23115"/>
      <c r="AI68" s="23115"/>
      <c r="AJ68" s="23115"/>
      <c r="AK68" s="23115"/>
      <c r="AL68" s="23115"/>
      <c r="AM68" s="23115"/>
      <c r="AN68" s="23115"/>
      <c r="AO68" s="23115"/>
      <c r="AP68" s="23115"/>
      <c r="AQ68" s="23115"/>
      <c r="AR68" s="23115"/>
      <c r="AS68" s="23115"/>
      <c r="AT68" s="23115"/>
      <c r="AU68" s="23115"/>
      <c r="AV68" s="23115"/>
      <c r="AW68" s="23115"/>
      <c r="AX68" s="23115"/>
      <c r="AY68" s="23115"/>
      <c r="AZ68" s="23115"/>
      <c r="BA68" s="23115"/>
      <c r="BB68" s="23115"/>
      <c r="BC68" s="23115"/>
      <c r="BD68" s="23115"/>
      <c r="BE68" s="23115"/>
      <c r="BF68" s="23115"/>
      <c r="BG68" s="23115"/>
      <c r="BH68" s="23115"/>
      <c r="BI68" s="23115"/>
      <c r="BJ68" s="23115"/>
      <c r="BK68" s="23115"/>
      <c r="BL68" s="23115"/>
      <c r="BM68" s="23115"/>
      <c r="BN68" s="23115"/>
      <c r="BO68" s="23115"/>
      <c r="BP68" s="23115"/>
      <c r="BQ68" s="23115"/>
      <c r="BR68" s="23115"/>
      <c r="BS68" s="23115"/>
      <c r="BT68" s="23161"/>
      <c r="BU68" s="23339"/>
      <c r="BV68" s="23339" t="str">
        <f>IF(T68="","",T68)</f>
        <v>Добавить источник для дифференциации</v>
      </c>
      <c r="BW68" s="23339"/>
      <c r="BX68" s="23339"/>
      <c r="BY68" s="23161">
        <v>0</v>
      </c>
    </row>
    <row s="61685" customFormat="1" customHeight="1" ht="0.75">
      <c r="A69" s="23531"/>
      <c r="B69" s="23531"/>
      <c r="C69" s="23531"/>
      <c r="D69" s="23531"/>
      <c r="E69" s="23341">
        <v>1</v>
      </c>
      <c r="F69" s="23329"/>
      <c r="G69" s="23531"/>
      <c r="H69" s="23531"/>
      <c r="I69" s="23531"/>
      <c r="J69" s="23531"/>
      <c r="K69" s="23531"/>
      <c r="L69" s="23532"/>
      <c r="M69" s="23539"/>
      <c r="N69" s="23539"/>
      <c r="O69" s="23161"/>
      <c r="P69" s="23534"/>
      <c r="Q69" s="23535"/>
      <c r="R69" s="23534"/>
      <c r="S69" s="23540"/>
      <c r="T69" s="23541" t="s">
        <v>172</v>
      </c>
      <c r="U69" s="23121"/>
      <c r="V69" s="23121"/>
      <c r="W69" s="23121"/>
      <c r="X69" s="23121"/>
      <c r="Y69" s="23121"/>
      <c r="Z69" s="23121"/>
      <c r="AA69" s="23121"/>
      <c r="AB69" s="23121"/>
      <c r="AC69" s="23121"/>
      <c r="AD69" s="23121"/>
      <c r="AE69" s="23121"/>
      <c r="AF69" s="23121"/>
      <c r="AG69" s="23121"/>
      <c r="AH69" s="23121"/>
      <c r="AI69" s="23121"/>
      <c r="AJ69" s="23121"/>
      <c r="AK69" s="23121"/>
      <c r="AL69" s="23121"/>
      <c r="AM69" s="23121"/>
      <c r="AN69" s="23121"/>
      <c r="AO69" s="23121"/>
      <c r="AP69" s="23121"/>
      <c r="AQ69" s="23121"/>
      <c r="AR69" s="23121"/>
      <c r="AS69" s="23121"/>
      <c r="AT69" s="23121"/>
      <c r="AU69" s="23121"/>
      <c r="AV69" s="23121"/>
      <c r="AW69" s="23121"/>
      <c r="AX69" s="23121"/>
      <c r="AY69" s="23121"/>
      <c r="AZ69" s="23121"/>
      <c r="BA69" s="23121"/>
      <c r="BB69" s="23121"/>
      <c r="BC69" s="23121"/>
      <c r="BD69" s="23121"/>
      <c r="BE69" s="23121"/>
      <c r="BF69" s="23121"/>
      <c r="BG69" s="23121"/>
      <c r="BH69" s="23121"/>
      <c r="BI69" s="23121"/>
      <c r="BJ69" s="23121"/>
      <c r="BK69" s="23121"/>
      <c r="BL69" s="23121"/>
      <c r="BM69" s="23121"/>
      <c r="BN69" s="23121"/>
      <c r="BO69" s="23121"/>
      <c r="BP69" s="23121"/>
      <c r="BQ69" s="23121"/>
      <c r="BR69" s="23121"/>
      <c r="BS69" s="23121"/>
      <c r="BT69" s="23161"/>
      <c r="BU69" s="23339"/>
      <c r="BV69" s="23339" t="str">
        <f>IF(T69="","",T69)</f>
        <v>Добавить централизованную систему для дифференциации</v>
      </c>
      <c r="BW69" s="23339"/>
      <c r="BX69" s="23339"/>
      <c r="BY69" s="23161">
        <v>0</v>
      </c>
    </row>
    <row s="61685" customFormat="1" customHeight="1" ht="0.75">
      <c r="A70" s="23531"/>
      <c r="B70" s="23531"/>
      <c r="C70" s="23531"/>
      <c r="D70" s="23531"/>
      <c r="E70" s="23329">
        <v>1</v>
      </c>
      <c r="F70" s="23531"/>
      <c r="G70" s="23531"/>
      <c r="H70" s="23531"/>
      <c r="I70" s="23531"/>
      <c r="J70" s="23531"/>
      <c r="K70" s="23531"/>
      <c r="L70" s="23532"/>
      <c r="M70" s="23539"/>
      <c r="N70" s="23539"/>
      <c r="O70" s="23161"/>
      <c r="P70" s="23534"/>
      <c r="Q70" s="23535"/>
      <c r="R70" s="23534"/>
      <c r="S70" s="23540"/>
      <c r="T70" s="23543" t="s">
        <v>173</v>
      </c>
      <c r="U70" s="23121"/>
      <c r="V70" s="23121"/>
      <c r="W70" s="23121"/>
      <c r="X70" s="23121"/>
      <c r="Y70" s="23121"/>
      <c r="Z70" s="23121"/>
      <c r="AA70" s="23121"/>
      <c r="AB70" s="23121"/>
      <c r="AC70" s="23121"/>
      <c r="AD70" s="23121"/>
      <c r="AE70" s="23121"/>
      <c r="AF70" s="23121"/>
      <c r="AG70" s="23121"/>
      <c r="AH70" s="23121"/>
      <c r="AI70" s="23121"/>
      <c r="AJ70" s="23121"/>
      <c r="AK70" s="23121"/>
      <c r="AL70" s="23121"/>
      <c r="AM70" s="23121"/>
      <c r="AN70" s="23121"/>
      <c r="AO70" s="23121"/>
      <c r="AP70" s="23121"/>
      <c r="AQ70" s="23121"/>
      <c r="AR70" s="23121"/>
      <c r="AS70" s="23121"/>
      <c r="AT70" s="23121"/>
      <c r="AU70" s="23121"/>
      <c r="AV70" s="23121"/>
      <c r="AW70" s="23121"/>
      <c r="AX70" s="23121"/>
      <c r="AY70" s="23121"/>
      <c r="AZ70" s="23121"/>
      <c r="BA70" s="23121"/>
      <c r="BB70" s="23121"/>
      <c r="BC70" s="23121"/>
      <c r="BD70" s="23121"/>
      <c r="BE70" s="23121"/>
      <c r="BF70" s="23121"/>
      <c r="BG70" s="23121"/>
      <c r="BH70" s="23121"/>
      <c r="BI70" s="23121"/>
      <c r="BJ70" s="23121"/>
      <c r="BK70" s="23121"/>
      <c r="BL70" s="23121"/>
      <c r="BM70" s="23121"/>
      <c r="BN70" s="23121"/>
      <c r="BO70" s="23121"/>
      <c r="BP70" s="23121"/>
      <c r="BQ70" s="23121"/>
      <c r="BR70" s="23121"/>
      <c r="BS70" s="23121"/>
      <c r="BT70" s="23161"/>
      <c r="BU70" s="23339"/>
      <c r="BV70" s="23339" t="str">
        <f>IF(T70="","",T70)</f>
        <v>Добавить территорию для дифференциации</v>
      </c>
      <c r="BW70" s="23339"/>
      <c r="BX70" s="23339"/>
      <c r="BY70" s="23161">
        <v>0</v>
      </c>
    </row>
    <row s="63225" customFormat="1" customHeight="1" ht="21">
      <c r="A71" s="23328" t="s">
        <v>182</v>
      </c>
      <c r="B71" s="23328"/>
      <c r="C71" s="23328"/>
      <c r="D71" s="23328"/>
      <c r="E71" s="23329" t="s">
        <v>91</v>
      </c>
      <c r="F71" s="23328"/>
      <c r="G71" s="23328"/>
      <c r="H71" s="23328"/>
      <c r="I71" s="23328"/>
      <c r="J71" s="23328"/>
      <c r="K71" s="23328"/>
      <c r="L71" s="23330"/>
      <c r="M71" s="23331"/>
      <c r="N71" s="23331"/>
      <c r="O71" s="23331"/>
      <c r="P71" s="23332"/>
      <c r="Q71" s="23333"/>
      <c r="R71" s="23334"/>
      <c r="S71" s="23335" t="str">
        <f>INDEX(PT_DIFFERENTIATION_NUM_NTAR,MATCH(A71,PT_DIFFERENTIATION_NTAR_ID,0))</f>
        <v>3</v>
      </c>
      <c r="T71" s="23336" t="s">
        <v>131</v>
      </c>
      <c r="U71" s="23337"/>
      <c r="V71" s="22958"/>
      <c r="W71" s="22959"/>
      <c r="X71" s="22959"/>
      <c r="Y71" s="22959"/>
      <c r="Z71" s="22959"/>
      <c r="AA71" s="22959"/>
      <c r="AB71" s="22959"/>
      <c r="AC71" s="22960"/>
      <c r="AD71" s="22958" t="str">
        <f>INDEX(PT_DIFFERENTIATION_NTAR,MATCH(A71,PT_DIFFERENTIATION_NTAR_ID,0))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AE71" s="22959"/>
      <c r="AF71" s="22959"/>
      <c r="AG71" s="22959"/>
      <c r="AH71" s="22959"/>
      <c r="AI71" s="22959"/>
      <c r="AJ71" s="22959"/>
      <c r="AK71" s="22959"/>
      <c r="AL71" s="22958"/>
      <c r="AM71" s="22959"/>
      <c r="AN71" s="22959"/>
      <c r="AO71" s="22959"/>
      <c r="AP71" s="22959"/>
      <c r="AQ71" s="22959"/>
      <c r="AR71" s="22959"/>
      <c r="AS71" s="22960"/>
      <c r="AT71" s="22958"/>
      <c r="AU71" s="22959"/>
      <c r="AV71" s="22959"/>
      <c r="AW71" s="22959"/>
      <c r="AX71" s="22959"/>
      <c r="AY71" s="22959"/>
      <c r="AZ71" s="22959"/>
      <c r="BA71" s="22960"/>
      <c r="BB71" s="22958"/>
      <c r="BC71" s="22959"/>
      <c r="BD71" s="22959"/>
      <c r="BE71" s="22959"/>
      <c r="BF71" s="22959"/>
      <c r="BG71" s="22959"/>
      <c r="BH71" s="22959"/>
      <c r="BI71" s="22960"/>
      <c r="BJ71" s="22958"/>
      <c r="BK71" s="22959"/>
      <c r="BL71" s="22959"/>
      <c r="BM71" s="22959"/>
      <c r="BN71" s="22959"/>
      <c r="BO71" s="22959"/>
      <c r="BP71" s="22959"/>
      <c r="BQ71" s="22960"/>
      <c r="BR71" s="22960"/>
      <c r="BS71" s="23338" t="s">
        <v>471</v>
      </c>
      <c r="BT71" s="23161"/>
      <c r="BU71" s="23339"/>
      <c r="BV71" s="23339" t="str">
        <f>IF(T71="","",T71)</f>
        <v>Наименование тарифа</v>
      </c>
      <c r="BW71" s="23339"/>
      <c r="BX71" s="23339"/>
      <c r="BY71" s="22944">
        <v>0</v>
      </c>
    </row>
    <row s="63225" customFormat="1" customHeight="1" ht="21">
      <c r="A72" s="23328"/>
      <c r="B72" s="23328" t="s">
        <v>183</v>
      </c>
      <c r="C72" s="23328"/>
      <c r="D72" s="23328"/>
      <c r="E72" s="23341" t="s">
        <v>103</v>
      </c>
      <c r="F72" s="23329">
        <v>1</v>
      </c>
      <c r="G72" s="23328"/>
      <c r="H72" s="23328"/>
      <c r="I72" s="23328"/>
      <c r="J72" s="23328"/>
      <c r="K72" s="23328"/>
      <c r="L72" s="23330"/>
      <c r="M72" s="23331"/>
      <c r="N72" s="23331"/>
      <c r="O72" s="23331"/>
      <c r="P72" s="23342"/>
      <c r="Q72" s="23343"/>
      <c r="R72" s="23344"/>
      <c r="S72" s="23335" t="str">
        <f>INDEX(PT_DIFFERENTIATION_NUM_TER,MATCH(B72,PT_DIFFERENTIATION_TER_ID,0))</f>
        <v>3.1</v>
      </c>
      <c r="T72" s="23345" t="s">
        <v>472</v>
      </c>
      <c r="U72" s="23337"/>
      <c r="V72" s="22958"/>
      <c r="W72" s="22959"/>
      <c r="X72" s="22959"/>
      <c r="Y72" s="22959"/>
      <c r="Z72" s="22959"/>
      <c r="AA72" s="22959"/>
      <c r="AB72" s="22959"/>
      <c r="AC72" s="22960"/>
      <c r="AD72" s="22958" t="str">
        <f>INDEX(PT_DIFFERENTIATION_TER,MATCH(B72,PT_DIFFERENTIATION_TER_ID,0))</f>
        <v>Территория 3</v>
      </c>
      <c r="AE72" s="22959"/>
      <c r="AF72" s="22959"/>
      <c r="AG72" s="22959"/>
      <c r="AH72" s="22959"/>
      <c r="AI72" s="22959"/>
      <c r="AJ72" s="22959"/>
      <c r="AK72" s="22959"/>
      <c r="AL72" s="22958"/>
      <c r="AM72" s="22959"/>
      <c r="AN72" s="22959"/>
      <c r="AO72" s="22959"/>
      <c r="AP72" s="22959"/>
      <c r="AQ72" s="22959"/>
      <c r="AR72" s="22959"/>
      <c r="AS72" s="22960"/>
      <c r="AT72" s="22958"/>
      <c r="AU72" s="22959"/>
      <c r="AV72" s="22959"/>
      <c r="AW72" s="22959"/>
      <c r="AX72" s="22959"/>
      <c r="AY72" s="22959"/>
      <c r="AZ72" s="22959"/>
      <c r="BA72" s="22960"/>
      <c r="BB72" s="22958"/>
      <c r="BC72" s="22959"/>
      <c r="BD72" s="22959"/>
      <c r="BE72" s="22959"/>
      <c r="BF72" s="22959"/>
      <c r="BG72" s="22959"/>
      <c r="BH72" s="22959"/>
      <c r="BI72" s="22960"/>
      <c r="BJ72" s="22958"/>
      <c r="BK72" s="22959"/>
      <c r="BL72" s="22959"/>
      <c r="BM72" s="22959"/>
      <c r="BN72" s="22959"/>
      <c r="BO72" s="22959"/>
      <c r="BP72" s="22959"/>
      <c r="BQ72" s="22960"/>
      <c r="BR72" s="22960"/>
      <c r="BS72" s="23338" t="s">
        <v>473</v>
      </c>
      <c r="BT72" s="23161"/>
      <c r="BU72" s="23339"/>
      <c r="BV72" s="23339" t="str">
        <f>IF(T72="","",T72)</f>
        <v>Территория действия тарифа</v>
      </c>
      <c r="BW72" s="23339"/>
      <c r="BX72" s="23339"/>
      <c r="BY72" s="22944">
        <v>0</v>
      </c>
    </row>
    <row s="63225" customFormat="1" customHeight="1" ht="23.25">
      <c r="A73" s="23328"/>
      <c r="B73" s="23328"/>
      <c r="C73" s="23328" t="s">
        <v>184</v>
      </c>
      <c r="D73" s="23328"/>
      <c r="E73" s="23341" t="s">
        <v>103</v>
      </c>
      <c r="F73" s="23341"/>
      <c r="G73" s="23329">
        <v>1</v>
      </c>
      <c r="H73" s="23328"/>
      <c r="I73" s="23328"/>
      <c r="J73" s="23328"/>
      <c r="K73" s="23328"/>
      <c r="L73" s="23330"/>
      <c r="M73" s="23331"/>
      <c r="N73" s="23331"/>
      <c r="O73" s="23331"/>
      <c r="P73" s="23347"/>
      <c r="Q73" s="23343"/>
      <c r="R73" s="23344"/>
      <c r="S73" s="23335" t="str">
        <f>INDEX(PT_DIFFERENTIATION_NUM_CS,MATCH(C73,PT_DIFFERENTIATION_CS_ID,0))</f>
        <v>3.1.1</v>
      </c>
      <c r="T73" s="23348" t="s">
        <v>474</v>
      </c>
      <c r="U73" s="23337"/>
      <c r="V73" s="22958"/>
      <c r="W73" s="22959"/>
      <c r="X73" s="22959"/>
      <c r="Y73" s="22959"/>
      <c r="Z73" s="22959"/>
      <c r="AA73" s="22959"/>
      <c r="AB73" s="22959"/>
      <c r="AC73" s="22960"/>
      <c r="AD73" s="22958" t="str">
        <f>INDEX(PT_DIFFERENTIATION_CS,MATCH(C73,PT_DIFFERENTIATION_CS_ID,0))</f>
        <v>без дифференциации</v>
      </c>
      <c r="AE73" s="22959"/>
      <c r="AF73" s="22959"/>
      <c r="AG73" s="22959"/>
      <c r="AH73" s="22959"/>
      <c r="AI73" s="22959"/>
      <c r="AJ73" s="22959"/>
      <c r="AK73" s="22959"/>
      <c r="AL73" s="22958"/>
      <c r="AM73" s="22959"/>
      <c r="AN73" s="22959"/>
      <c r="AO73" s="22959"/>
      <c r="AP73" s="22959"/>
      <c r="AQ73" s="22959"/>
      <c r="AR73" s="22959"/>
      <c r="AS73" s="22960"/>
      <c r="AT73" s="22958"/>
      <c r="AU73" s="22959"/>
      <c r="AV73" s="22959"/>
      <c r="AW73" s="22959"/>
      <c r="AX73" s="22959"/>
      <c r="AY73" s="22959"/>
      <c r="AZ73" s="22959"/>
      <c r="BA73" s="22960"/>
      <c r="BB73" s="22958"/>
      <c r="BC73" s="22959"/>
      <c r="BD73" s="22959"/>
      <c r="BE73" s="22959"/>
      <c r="BF73" s="22959"/>
      <c r="BG73" s="22959"/>
      <c r="BH73" s="22959"/>
      <c r="BI73" s="22960"/>
      <c r="BJ73" s="22958"/>
      <c r="BK73" s="22959"/>
      <c r="BL73" s="22959"/>
      <c r="BM73" s="22959"/>
      <c r="BN73" s="22959"/>
      <c r="BO73" s="22959"/>
      <c r="BP73" s="22959"/>
      <c r="BQ73" s="22960"/>
      <c r="BR73" s="22960"/>
      <c r="BS73" s="23338" t="s">
        <v>475</v>
      </c>
      <c r="BT73" s="23161"/>
      <c r="BU73" s="23339"/>
      <c r="BV73" s="23339" t="str">
        <f>IF(T73="","",T73)</f>
        <v>Наименование системы теплоснабжения </v>
      </c>
      <c r="BW73" s="23339"/>
      <c r="BX73" s="23339"/>
      <c r="BY73" s="22944">
        <v>0</v>
      </c>
    </row>
    <row s="63225" customFormat="1" customHeight="1" ht="21">
      <c r="A74" s="23328"/>
      <c r="B74" s="23328"/>
      <c r="C74" s="23328"/>
      <c r="D74" s="23328" t="s">
        <v>185</v>
      </c>
      <c r="E74" s="23341" t="s">
        <v>103</v>
      </c>
      <c r="F74" s="23341"/>
      <c r="G74" s="23341"/>
      <c r="H74" s="23329">
        <v>1</v>
      </c>
      <c r="I74" s="23328"/>
      <c r="J74" s="23328"/>
      <c r="K74" s="23328"/>
      <c r="L74" s="23330"/>
      <c r="M74" s="23331"/>
      <c r="N74" s="23331"/>
      <c r="O74" s="23331"/>
      <c r="P74" s="23347"/>
      <c r="Q74" s="23343"/>
      <c r="R74" s="23344"/>
      <c r="S74" s="23335" t="str">
        <f>INDEX(PT_DIFFERENTIATION_NUM_IST_TE,MATCH(D74,PT_DIFFERENTIATION_IST_TE_ID,0))</f>
        <v>3.1.1.1</v>
      </c>
      <c r="T74" s="23350" t="s">
        <v>476</v>
      </c>
      <c r="U74" s="23337"/>
      <c r="V74" s="22958"/>
      <c r="W74" s="22959"/>
      <c r="X74" s="22959"/>
      <c r="Y74" s="22959"/>
      <c r="Z74" s="22959"/>
      <c r="AA74" s="22959"/>
      <c r="AB74" s="22959"/>
      <c r="AC74" s="22960"/>
      <c r="AD74" s="22958" t="str">
        <f>INDEX(PT_DIFFERENTIATION_IST_TE,MATCH(D74,PT_DIFFERENTIATION_IST_TE_ID,0))</f>
        <v>Партизанская ГРЭС</v>
      </c>
      <c r="AE74" s="22959"/>
      <c r="AF74" s="22959"/>
      <c r="AG74" s="22959"/>
      <c r="AH74" s="22959"/>
      <c r="AI74" s="22959"/>
      <c r="AJ74" s="22959"/>
      <c r="AK74" s="22959"/>
      <c r="AL74" s="22958"/>
      <c r="AM74" s="22959"/>
      <c r="AN74" s="22959"/>
      <c r="AO74" s="22959"/>
      <c r="AP74" s="22959"/>
      <c r="AQ74" s="22959"/>
      <c r="AR74" s="22959"/>
      <c r="AS74" s="22960"/>
      <c r="AT74" s="22958"/>
      <c r="AU74" s="22959"/>
      <c r="AV74" s="22959"/>
      <c r="AW74" s="22959"/>
      <c r="AX74" s="22959"/>
      <c r="AY74" s="22959"/>
      <c r="AZ74" s="22959"/>
      <c r="BA74" s="22960"/>
      <c r="BB74" s="22958"/>
      <c r="BC74" s="22959"/>
      <c r="BD74" s="22959"/>
      <c r="BE74" s="22959"/>
      <c r="BF74" s="22959"/>
      <c r="BG74" s="22959"/>
      <c r="BH74" s="22959"/>
      <c r="BI74" s="22960"/>
      <c r="BJ74" s="22958"/>
      <c r="BK74" s="22959"/>
      <c r="BL74" s="22959"/>
      <c r="BM74" s="22959"/>
      <c r="BN74" s="22959"/>
      <c r="BO74" s="22959"/>
      <c r="BP74" s="22959"/>
      <c r="BQ74" s="22960"/>
      <c r="BR74" s="22960"/>
      <c r="BS74" s="23338" t="s">
        <v>477</v>
      </c>
      <c r="BT74" s="23161"/>
      <c r="BU74" s="23339"/>
      <c r="BV74" s="23339" t="str">
        <f>IF(T74="","",T74)</f>
        <v>Источник тепловой энергии  </v>
      </c>
      <c r="BW74" s="23339"/>
      <c r="BX74" s="23339"/>
      <c r="BY74" s="22944">
        <v>0</v>
      </c>
    </row>
    <row s="63225" customFormat="1" customHeight="1" ht="47.25">
      <c r="A75" s="23328"/>
      <c r="B75" s="23328"/>
      <c r="C75" s="23328"/>
      <c r="D75" s="23328"/>
      <c r="E75" s="23341" t="s">
        <v>103</v>
      </c>
      <c r="F75" s="23341"/>
      <c r="G75" s="23341"/>
      <c r="H75" s="23341"/>
      <c r="I75" s="23352" t="str">
        <f>S74&amp;".1"</f>
        <v>3.1.1.1.1</v>
      </c>
      <c r="J75" s="23328"/>
      <c r="K75" s="23328"/>
      <c r="L75" s="23330" t="s">
        <v>478</v>
      </c>
      <c r="M75" s="23133"/>
      <c r="N75" s="23353"/>
      <c r="O75" s="23353"/>
      <c r="P75" s="23354">
        <v>1</v>
      </c>
      <c r="Q75" s="23354"/>
      <c r="R75" s="23355"/>
      <c r="S75" s="23335" t="str">
        <f>$I75</f>
        <v>3.1.1.1.1</v>
      </c>
      <c r="T75" s="23356" t="s">
        <v>479</v>
      </c>
      <c r="U75" s="23337"/>
      <c r="V75" s="22979"/>
      <c r="W75" s="22980"/>
      <c r="X75" s="22980"/>
      <c r="Y75" s="22980"/>
      <c r="Z75" s="22980"/>
      <c r="AA75" s="22980"/>
      <c r="AB75" s="22980"/>
      <c r="AC75" s="22981"/>
      <c r="AD75" s="22979" t="s">
        <v>520</v>
      </c>
      <c r="AE75" s="22980"/>
      <c r="AF75" s="22980"/>
      <c r="AG75" s="22980"/>
      <c r="AH75" s="22980"/>
      <c r="AI75" s="22980"/>
      <c r="AJ75" s="22980"/>
      <c r="AK75" s="22980"/>
      <c r="AL75" s="22979"/>
      <c r="AM75" s="22980"/>
      <c r="AN75" s="22980"/>
      <c r="AO75" s="22980"/>
      <c r="AP75" s="22980"/>
      <c r="AQ75" s="22980"/>
      <c r="AR75" s="22980"/>
      <c r="AS75" s="22981"/>
      <c r="AT75" s="22979"/>
      <c r="AU75" s="22980"/>
      <c r="AV75" s="22980"/>
      <c r="AW75" s="22980"/>
      <c r="AX75" s="22980"/>
      <c r="AY75" s="22980"/>
      <c r="AZ75" s="22980"/>
      <c r="BA75" s="22981"/>
      <c r="BB75" s="22979"/>
      <c r="BC75" s="22980"/>
      <c r="BD75" s="22980"/>
      <c r="BE75" s="22980"/>
      <c r="BF75" s="22980"/>
      <c r="BG75" s="22980"/>
      <c r="BH75" s="22980"/>
      <c r="BI75" s="22981"/>
      <c r="BJ75" s="22979"/>
      <c r="BK75" s="22980"/>
      <c r="BL75" s="22980"/>
      <c r="BM75" s="22980"/>
      <c r="BN75" s="22980"/>
      <c r="BO75" s="22980"/>
      <c r="BP75" s="22980"/>
      <c r="BQ75" s="22981"/>
      <c r="BR75" s="22981"/>
      <c r="BS75" s="23338" t="s">
        <v>480</v>
      </c>
      <c r="BT75" s="23161"/>
      <c r="BU75" s="23339"/>
      <c r="BV75" s="23339" t="str">
        <f>IF(T75="","",T75)</f>
        <v>Схема подключения теплопотребляющей установки к коллектору источника тепловой энергии</v>
      </c>
      <c r="BW75" s="23339"/>
      <c r="BX75" s="23339"/>
      <c r="BY75" s="22944">
        <v>0</v>
      </c>
    </row>
    <row s="63225" customFormat="1" customHeight="1" ht="21">
      <c r="A76" s="23328"/>
      <c r="B76" s="23328"/>
      <c r="C76" s="23328"/>
      <c r="D76" s="23328"/>
      <c r="E76" s="23341" t="s">
        <v>103</v>
      </c>
      <c r="F76" s="23341"/>
      <c r="G76" s="23341"/>
      <c r="H76" s="23341"/>
      <c r="I76" s="23358"/>
      <c r="J76" s="23352" t="str">
        <f>I75&amp;".1"</f>
        <v>3.1.1.1.1.1</v>
      </c>
      <c r="K76" s="23328"/>
      <c r="L76" s="23330" t="s">
        <v>481</v>
      </c>
      <c r="M76" s="23133"/>
      <c r="N76" s="23133"/>
      <c r="O76" s="23353"/>
      <c r="P76" s="23354"/>
      <c r="Q76" s="23354">
        <v>1</v>
      </c>
      <c r="R76" s="23359"/>
      <c r="S76" s="23335" t="str">
        <f>$J76</f>
        <v>3.1.1.1.1.1</v>
      </c>
      <c r="T76" s="23360" t="s">
        <v>482</v>
      </c>
      <c r="U76" s="23337"/>
      <c r="V76" s="22979"/>
      <c r="W76" s="22980"/>
      <c r="X76" s="22980"/>
      <c r="Y76" s="22980"/>
      <c r="Z76" s="22980"/>
      <c r="AA76" s="22980"/>
      <c r="AB76" s="22980"/>
      <c r="AC76" s="22981"/>
      <c r="AD76" s="22979" t="s">
        <v>521</v>
      </c>
      <c r="AE76" s="22980"/>
      <c r="AF76" s="22980"/>
      <c r="AG76" s="22980"/>
      <c r="AH76" s="22980"/>
      <c r="AI76" s="22980"/>
      <c r="AJ76" s="22980"/>
      <c r="AK76" s="22980"/>
      <c r="AL76" s="22979"/>
      <c r="AM76" s="22980"/>
      <c r="AN76" s="22980"/>
      <c r="AO76" s="22980"/>
      <c r="AP76" s="22980"/>
      <c r="AQ76" s="22980"/>
      <c r="AR76" s="22980"/>
      <c r="AS76" s="22981"/>
      <c r="AT76" s="22979"/>
      <c r="AU76" s="22980"/>
      <c r="AV76" s="22980"/>
      <c r="AW76" s="22980"/>
      <c r="AX76" s="22980"/>
      <c r="AY76" s="22980"/>
      <c r="AZ76" s="22980"/>
      <c r="BA76" s="22981"/>
      <c r="BB76" s="22979"/>
      <c r="BC76" s="22980"/>
      <c r="BD76" s="22980"/>
      <c r="BE76" s="22980"/>
      <c r="BF76" s="22980"/>
      <c r="BG76" s="22980"/>
      <c r="BH76" s="22980"/>
      <c r="BI76" s="22981"/>
      <c r="BJ76" s="22979"/>
      <c r="BK76" s="22980"/>
      <c r="BL76" s="22980"/>
      <c r="BM76" s="22980"/>
      <c r="BN76" s="22980"/>
      <c r="BO76" s="22980"/>
      <c r="BP76" s="22980"/>
      <c r="BQ76" s="22981"/>
      <c r="BR76" s="22981"/>
      <c r="BS76" s="23338" t="s">
        <v>483</v>
      </c>
      <c r="BT76" s="23161"/>
      <c r="BU76" s="23339"/>
      <c r="BV76" s="23339" t="str">
        <f>IF(T76="","",T76)</f>
        <v>Группа потребителей</v>
      </c>
      <c r="BW76" s="23339"/>
      <c r="BX76" s="23339"/>
      <c r="BY76" s="22944">
        <v>0</v>
      </c>
    </row>
    <row s="63225" customFormat="1" customHeight="1" ht="21">
      <c r="A77" s="23328"/>
      <c r="B77" s="23328"/>
      <c r="C77" s="23328"/>
      <c r="D77" s="23328"/>
      <c r="E77" s="23341" t="s">
        <v>103</v>
      </c>
      <c r="F77" s="23341"/>
      <c r="G77" s="23341"/>
      <c r="H77" s="23341"/>
      <c r="I77" s="23358"/>
      <c r="J77" s="23358"/>
      <c r="K77" s="23352" t="str">
        <f>J76&amp;".1"</f>
        <v>3.1.1.1.1.1.1</v>
      </c>
      <c r="L77" s="23330" t="s">
        <v>484</v>
      </c>
      <c r="M77" s="23133"/>
      <c r="N77" s="23133"/>
      <c r="O77" s="23133"/>
      <c r="P77" s="23354"/>
      <c r="Q77" s="23354"/>
      <c r="R77" s="23359">
        <v>1</v>
      </c>
      <c r="S77" s="23335" t="str">
        <f>$K77</f>
        <v>3.1.1.1.1.1.1</v>
      </c>
      <c r="T77" s="23362" t="s">
        <v>522</v>
      </c>
      <c r="U77" s="23337"/>
      <c r="V77" s="22991"/>
      <c r="W77" s="22992"/>
      <c r="X77" s="22991"/>
      <c r="Y77" s="22993"/>
      <c r="Z77" s="22994"/>
      <c r="AA77" s="22349" t="s">
        <v>67</v>
      </c>
      <c r="AB77" s="22994"/>
      <c r="AC77" s="22349" t="s">
        <v>67</v>
      </c>
      <c r="AD77" s="22991">
        <v>2436.56</v>
      </c>
      <c r="AE77" s="22992"/>
      <c r="AF77" s="22991">
        <v>1415.15</v>
      </c>
      <c r="AG77" s="22993">
        <v>286.669</v>
      </c>
      <c r="AH77" s="22994">
        <v>45292</v>
      </c>
      <c r="AI77" s="22349" t="s">
        <v>67</v>
      </c>
      <c r="AJ77" s="22994">
        <v>45657</v>
      </c>
      <c r="AK77" s="22349" t="s">
        <v>67</v>
      </c>
      <c r="AL77" s="22991">
        <v>2575.75</v>
      </c>
      <c r="AM77" s="22992"/>
      <c r="AN77" s="22991">
        <v>1705.28</v>
      </c>
      <c r="AO77" s="22993">
        <v>213.781</v>
      </c>
      <c r="AP77" s="22994">
        <v>45658</v>
      </c>
      <c r="AQ77" s="22349" t="s">
        <v>67</v>
      </c>
      <c r="AR77" s="22994">
        <v>46022</v>
      </c>
      <c r="AS77" s="22349" t="s">
        <v>67</v>
      </c>
      <c r="AT77" s="22991">
        <v>3166.56</v>
      </c>
      <c r="AU77" s="22992"/>
      <c r="AV77" s="22991">
        <v>1908.8</v>
      </c>
      <c r="AW77" s="22993">
        <v>287.9967</v>
      </c>
      <c r="AX77" s="22994">
        <v>46023</v>
      </c>
      <c r="AY77" s="22349" t="s">
        <v>67</v>
      </c>
      <c r="AZ77" s="22994">
        <v>46387</v>
      </c>
      <c r="BA77" s="22349" t="s">
        <v>67</v>
      </c>
      <c r="BB77" s="22991">
        <v>2677.02</v>
      </c>
      <c r="BC77" s="22992"/>
      <c r="BD77" s="22991">
        <v>1600.11</v>
      </c>
      <c r="BE77" s="22993">
        <v>302.247</v>
      </c>
      <c r="BF77" s="22994">
        <v>46388</v>
      </c>
      <c r="BG77" s="22349" t="s">
        <v>67</v>
      </c>
      <c r="BH77" s="22994">
        <v>46752</v>
      </c>
      <c r="BI77" s="22349" t="s">
        <v>67</v>
      </c>
      <c r="BJ77" s="22991">
        <v>2766.53</v>
      </c>
      <c r="BK77" s="22992"/>
      <c r="BL77" s="22991">
        <v>1667.04</v>
      </c>
      <c r="BM77" s="22993">
        <v>308.584</v>
      </c>
      <c r="BN77" s="22994">
        <v>46753</v>
      </c>
      <c r="BO77" s="22349" t="s">
        <v>67</v>
      </c>
      <c r="BP77" s="22994">
        <v>47118</v>
      </c>
      <c r="BQ77" s="22349" t="s">
        <v>67</v>
      </c>
      <c r="BR77" s="22992"/>
      <c r="BS77" s="23363" t="s">
        <v>485</v>
      </c>
      <c r="BT77" s="23161">
        <f>STRCHECKDATE(V78:BR78)</f>
      </c>
      <c r="BU77" s="23339"/>
      <c r="BV77" s="23339" t="str">
        <f>IF(T77="","",T77)</f>
        <v>вода</v>
      </c>
      <c r="BW77" s="23339"/>
      <c r="BX77" s="23339"/>
      <c r="BY77" s="22944">
        <v>0</v>
      </c>
    </row>
    <row s="63225" customFormat="1" customHeight="1" ht="0.75">
      <c r="A78" s="23328"/>
      <c r="B78" s="23328"/>
      <c r="C78" s="23328"/>
      <c r="D78" s="23328"/>
      <c r="E78" s="23341" t="s">
        <v>103</v>
      </c>
      <c r="F78" s="23341"/>
      <c r="G78" s="23341"/>
      <c r="H78" s="23341"/>
      <c r="I78" s="23358"/>
      <c r="J78" s="23358"/>
      <c r="K78" s="23352"/>
      <c r="L78" s="23330"/>
      <c r="M78" s="23133"/>
      <c r="N78" s="23133"/>
      <c r="O78" s="23133"/>
      <c r="P78" s="23354"/>
      <c r="Q78" s="23354"/>
      <c r="R78" s="23359"/>
      <c r="S78" s="23365"/>
      <c r="T78" s="23337"/>
      <c r="U78" s="23337"/>
      <c r="V78" s="22992"/>
      <c r="W78" s="22992"/>
      <c r="X78" s="22992"/>
      <c r="Y78" s="22999" t="str">
        <f>Z77&amp;"-"&amp;AB77</f>
        <v>-</v>
      </c>
      <c r="Z78" s="23000"/>
      <c r="AA78" s="22349"/>
      <c r="AB78" s="23000"/>
      <c r="AC78" s="22349"/>
      <c r="AD78" s="22992"/>
      <c r="AE78" s="22992"/>
      <c r="AF78" s="22992"/>
      <c r="AG78" s="22999" t="str">
        <f>AH77&amp;"-"&amp;AJ77</f>
        <v>45292-45657</v>
      </c>
      <c r="AH78" s="23000"/>
      <c r="AI78" s="22349"/>
      <c r="AJ78" s="23000"/>
      <c r="AK78" s="22349"/>
      <c r="AL78" s="22992"/>
      <c r="AM78" s="22992"/>
      <c r="AN78" s="22992"/>
      <c r="AO78" s="22999" t="str">
        <f>AP77&amp;"-"&amp;AR77</f>
        <v>45658-46022</v>
      </c>
      <c r="AP78" s="23000"/>
      <c r="AQ78" s="22349"/>
      <c r="AR78" s="23000"/>
      <c r="AS78" s="22349"/>
      <c r="AT78" s="22992"/>
      <c r="AU78" s="22992"/>
      <c r="AV78" s="22992"/>
      <c r="AW78" s="22999" t="str">
        <f>AX77&amp;"-"&amp;AZ77</f>
        <v>46023-46387</v>
      </c>
      <c r="AX78" s="23000"/>
      <c r="AY78" s="22349"/>
      <c r="AZ78" s="23000"/>
      <c r="BA78" s="22349"/>
      <c r="BB78" s="22992"/>
      <c r="BC78" s="22992"/>
      <c r="BD78" s="22992"/>
      <c r="BE78" s="22999" t="str">
        <f>BF77&amp;"-"&amp;BH77</f>
        <v>46388-46752</v>
      </c>
      <c r="BF78" s="23000"/>
      <c r="BG78" s="22349"/>
      <c r="BH78" s="23000"/>
      <c r="BI78" s="22349"/>
      <c r="BJ78" s="22992"/>
      <c r="BK78" s="22992"/>
      <c r="BL78" s="22992"/>
      <c r="BM78" s="22999" t="str">
        <f>BN77&amp;"-"&amp;BP77</f>
        <v>46753-47118</v>
      </c>
      <c r="BN78" s="23000"/>
      <c r="BO78" s="22349"/>
      <c r="BP78" s="23000"/>
      <c r="BQ78" s="22349"/>
      <c r="BR78" s="22992"/>
      <c r="BS78" s="23366"/>
      <c r="BT78" s="23161"/>
      <c r="BU78" s="23339"/>
      <c r="BV78" s="23339" t="str">
        <f>IF(T78="","",T78)</f>
        <v/>
      </c>
      <c r="BW78" s="23339"/>
      <c r="BX78" s="23339"/>
      <c r="BY78" s="22944">
        <v>0</v>
      </c>
    </row>
    <row s="63225" customFormat="1" customHeight="1" ht="15">
      <c r="A79" s="23328"/>
      <c r="B79" s="23328"/>
      <c r="C79" s="23328"/>
      <c r="D79" s="23328"/>
      <c r="E79" s="23341" t="s">
        <v>103</v>
      </c>
      <c r="F79" s="23341"/>
      <c r="G79" s="23341"/>
      <c r="H79" s="23341"/>
      <c r="I79" s="23358"/>
      <c r="J79" s="23352"/>
      <c r="K79" s="23328"/>
      <c r="L79" s="23330"/>
      <c r="M79" s="23133"/>
      <c r="N79" s="23133"/>
      <c r="O79" s="23353"/>
      <c r="P79" s="23354"/>
      <c r="Q79" s="23354"/>
      <c r="R79" s="23355"/>
      <c r="S79" s="23553"/>
      <c r="T79" s="23554" t="s">
        <v>486</v>
      </c>
      <c r="U79" s="23555"/>
      <c r="V79" s="23556"/>
      <c r="W79" s="23557"/>
      <c r="X79" s="23558"/>
      <c r="Y79" s="23559"/>
      <c r="Z79" s="23560"/>
      <c r="AA79" s="23561"/>
      <c r="AB79" s="23562"/>
      <c r="AC79" s="23563"/>
      <c r="AD79" s="23564"/>
      <c r="AE79" s="23565"/>
      <c r="AF79" s="23566"/>
      <c r="AG79" s="23567"/>
      <c r="AH79" s="23568"/>
      <c r="AI79" s="23569"/>
      <c r="AJ79" s="23570"/>
      <c r="AK79" s="23571"/>
      <c r="AL79" s="23572"/>
      <c r="AM79" s="23573"/>
      <c r="AN79" s="23574"/>
      <c r="AO79" s="23575"/>
      <c r="AP79" s="23576"/>
      <c r="AQ79" s="23577"/>
      <c r="AR79" s="23578"/>
      <c r="AS79" s="23579"/>
      <c r="AT79" s="23580"/>
      <c r="AU79" s="23581"/>
      <c r="AV79" s="23582"/>
      <c r="AW79" s="23583"/>
      <c r="AX79" s="23584"/>
      <c r="AY79" s="23585"/>
      <c r="AZ79" s="23586"/>
      <c r="BA79" s="23587"/>
      <c r="BB79" s="23588"/>
      <c r="BC79" s="23589"/>
      <c r="BD79" s="23590"/>
      <c r="BE79" s="23591"/>
      <c r="BF79" s="23592"/>
      <c r="BG79" s="23593"/>
      <c r="BH79" s="23594"/>
      <c r="BI79" s="23595"/>
      <c r="BJ79" s="23596"/>
      <c r="BK79" s="23597"/>
      <c r="BL79" s="23598"/>
      <c r="BM79" s="23599"/>
      <c r="BN79" s="23600"/>
      <c r="BO79" s="23601"/>
      <c r="BP79" s="23602"/>
      <c r="BQ79" s="23603"/>
      <c r="BR79" s="23604"/>
      <c r="BS79" s="23420"/>
      <c r="BT79" s="23161"/>
      <c r="BU79" s="23339"/>
      <c r="BV79" s="23339" t="str">
        <f>IF(T79="","",T79)</f>
        <v>Добавить вид теплоносителя (параметры теплоносителя)</v>
      </c>
      <c r="BW79" s="23339"/>
      <c r="BX79" s="23339"/>
      <c r="BY79" s="22944">
        <v>0</v>
      </c>
    </row>
    <row s="63225" customFormat="1" customHeight="1" ht="15">
      <c r="A80" s="23328"/>
      <c r="B80" s="23328"/>
      <c r="C80" s="23328"/>
      <c r="D80" s="23328"/>
      <c r="E80" s="23341" t="s">
        <v>103</v>
      </c>
      <c r="F80" s="23341"/>
      <c r="G80" s="23341"/>
      <c r="H80" s="23341"/>
      <c r="I80" s="23352"/>
      <c r="J80" s="23328"/>
      <c r="K80" s="23328"/>
      <c r="L80" s="23330"/>
      <c r="M80" s="23133"/>
      <c r="N80" s="23353"/>
      <c r="O80" s="23353"/>
      <c r="P80" s="23354"/>
      <c r="Q80" s="23354"/>
      <c r="R80" s="23355"/>
      <c r="S80" s="23606"/>
      <c r="T80" s="23607" t="s">
        <v>487</v>
      </c>
      <c r="U80" s="23608"/>
      <c r="V80" s="23609"/>
      <c r="W80" s="23610"/>
      <c r="X80" s="23611"/>
      <c r="Y80" s="23612"/>
      <c r="Z80" s="23613"/>
      <c r="AA80" s="23614"/>
      <c r="AB80" s="23615"/>
      <c r="AC80" s="23616"/>
      <c r="AD80" s="23617"/>
      <c r="AE80" s="23618"/>
      <c r="AF80" s="23619"/>
      <c r="AG80" s="23620"/>
      <c r="AH80" s="23621"/>
      <c r="AI80" s="23622"/>
      <c r="AJ80" s="23623"/>
      <c r="AK80" s="23624"/>
      <c r="AL80" s="23625"/>
      <c r="AM80" s="23626"/>
      <c r="AN80" s="23627"/>
      <c r="AO80" s="23628"/>
      <c r="AP80" s="23629"/>
      <c r="AQ80" s="23630"/>
      <c r="AR80" s="23631"/>
      <c r="AS80" s="23632"/>
      <c r="AT80" s="23633"/>
      <c r="AU80" s="23634"/>
      <c r="AV80" s="23635"/>
      <c r="AW80" s="23636"/>
      <c r="AX80" s="23637"/>
      <c r="AY80" s="23638"/>
      <c r="AZ80" s="23639"/>
      <c r="BA80" s="23640"/>
      <c r="BB80" s="23641"/>
      <c r="BC80" s="23642"/>
      <c r="BD80" s="23643"/>
      <c r="BE80" s="23644"/>
      <c r="BF80" s="23645"/>
      <c r="BG80" s="23646"/>
      <c r="BH80" s="23647"/>
      <c r="BI80" s="23648"/>
      <c r="BJ80" s="23649"/>
      <c r="BK80" s="23650"/>
      <c r="BL80" s="23651"/>
      <c r="BM80" s="23652"/>
      <c r="BN80" s="23653"/>
      <c r="BO80" s="23654"/>
      <c r="BP80" s="23655"/>
      <c r="BQ80" s="23656"/>
      <c r="BR80" s="23657"/>
      <c r="BS80" s="23658"/>
      <c r="BT80" s="23161"/>
      <c r="BU80" s="23339"/>
      <c r="BV80" s="23339" t="str">
        <f>IF(T80="","",T80)</f>
        <v>Добавить группу потребителей</v>
      </c>
      <c r="BW80" s="23339"/>
      <c r="BX80" s="23339"/>
      <c r="BY80" s="22944">
        <v>0</v>
      </c>
    </row>
    <row s="63225" customFormat="1" customHeight="1" ht="14.25">
      <c r="A81" s="23328"/>
      <c r="B81" s="23328"/>
      <c r="C81" s="23328"/>
      <c r="D81" s="23328"/>
      <c r="E81" s="23341" t="s">
        <v>103</v>
      </c>
      <c r="F81" s="23341"/>
      <c r="G81" s="23341"/>
      <c r="H81" s="23329"/>
      <c r="I81" s="23328"/>
      <c r="J81" s="23328"/>
      <c r="K81" s="23328"/>
      <c r="L81" s="23330"/>
      <c r="M81" s="23331"/>
      <c r="N81" s="23331"/>
      <c r="O81" s="23133"/>
      <c r="P81" s="23333"/>
      <c r="Q81" s="23476"/>
      <c r="R81" s="23334"/>
      <c r="S81" s="23660"/>
      <c r="T81" s="23661" t="s">
        <v>488</v>
      </c>
      <c r="U81" s="23662"/>
      <c r="V81" s="23663"/>
      <c r="W81" s="23664"/>
      <c r="X81" s="23665"/>
      <c r="Y81" s="23666"/>
      <c r="Z81" s="23667"/>
      <c r="AA81" s="23668"/>
      <c r="AB81" s="23669"/>
      <c r="AC81" s="23670"/>
      <c r="AD81" s="23671"/>
      <c r="AE81" s="23672"/>
      <c r="AF81" s="23673"/>
      <c r="AG81" s="23674"/>
      <c r="AH81" s="23675"/>
      <c r="AI81" s="23676"/>
      <c r="AJ81" s="23677"/>
      <c r="AK81" s="23678"/>
      <c r="AL81" s="23679"/>
      <c r="AM81" s="23680"/>
      <c r="AN81" s="23681"/>
      <c r="AO81" s="23682"/>
      <c r="AP81" s="23683"/>
      <c r="AQ81" s="23684"/>
      <c r="AR81" s="23685"/>
      <c r="AS81" s="23686"/>
      <c r="AT81" s="23687"/>
      <c r="AU81" s="23688"/>
      <c r="AV81" s="23689"/>
      <c r="AW81" s="23690"/>
      <c r="AX81" s="23691"/>
      <c r="AY81" s="23692"/>
      <c r="AZ81" s="23693"/>
      <c r="BA81" s="23694"/>
      <c r="BB81" s="23695"/>
      <c r="BC81" s="23696"/>
      <c r="BD81" s="23697"/>
      <c r="BE81" s="23698"/>
      <c r="BF81" s="23699"/>
      <c r="BG81" s="23700"/>
      <c r="BH81" s="23701"/>
      <c r="BI81" s="23702"/>
      <c r="BJ81" s="23703"/>
      <c r="BK81" s="23704"/>
      <c r="BL81" s="23705"/>
      <c r="BM81" s="23706"/>
      <c r="BN81" s="23707"/>
      <c r="BO81" s="23708"/>
      <c r="BP81" s="23709"/>
      <c r="BQ81" s="23710"/>
      <c r="BR81" s="23711"/>
      <c r="BS81" s="23712"/>
      <c r="BT81" s="23161"/>
      <c r="BU81" s="23339"/>
      <c r="BV81" s="23339" t="str">
        <f>IF(T81="","",T81)</f>
        <v>Добавить схему подключения</v>
      </c>
      <c r="BW81" s="23339"/>
      <c r="BX81" s="23339"/>
      <c r="BY81" s="22944">
        <v>0</v>
      </c>
    </row>
    <row s="61685" customFormat="1" customHeight="1" ht="0.75">
      <c r="A82" s="23531"/>
      <c r="B82" s="23531"/>
      <c r="C82" s="23531"/>
      <c r="D82" s="23531"/>
      <c r="E82" s="23341" t="s">
        <v>103</v>
      </c>
      <c r="F82" s="23341"/>
      <c r="G82" s="23329"/>
      <c r="H82" s="23531"/>
      <c r="I82" s="23531"/>
      <c r="J82" s="23531"/>
      <c r="K82" s="23531"/>
      <c r="L82" s="23532"/>
      <c r="M82" s="23533"/>
      <c r="N82" s="23533"/>
      <c r="O82" s="23161"/>
      <c r="P82" s="23534"/>
      <c r="Q82" s="23535"/>
      <c r="R82" s="23534"/>
      <c r="S82" s="23536"/>
      <c r="T82" s="23537" t="s">
        <v>171</v>
      </c>
      <c r="U82" s="23115"/>
      <c r="V82" s="23115"/>
      <c r="W82" s="23115"/>
      <c r="X82" s="23115"/>
      <c r="Y82" s="23115"/>
      <c r="Z82" s="23115"/>
      <c r="AA82" s="23115"/>
      <c r="AB82" s="23115"/>
      <c r="AC82" s="23115"/>
      <c r="AD82" s="23115"/>
      <c r="AE82" s="23115"/>
      <c r="AF82" s="23115"/>
      <c r="AG82" s="23115"/>
      <c r="AH82" s="23115"/>
      <c r="AI82" s="23115"/>
      <c r="AJ82" s="23115"/>
      <c r="AK82" s="23115"/>
      <c r="AL82" s="23115"/>
      <c r="AM82" s="23115"/>
      <c r="AN82" s="23115"/>
      <c r="AO82" s="23115"/>
      <c r="AP82" s="23115"/>
      <c r="AQ82" s="23115"/>
      <c r="AR82" s="23115"/>
      <c r="AS82" s="23115"/>
      <c r="AT82" s="23115"/>
      <c r="AU82" s="23115"/>
      <c r="AV82" s="23115"/>
      <c r="AW82" s="23115"/>
      <c r="AX82" s="23115"/>
      <c r="AY82" s="23115"/>
      <c r="AZ82" s="23115"/>
      <c r="BA82" s="23115"/>
      <c r="BB82" s="23115"/>
      <c r="BC82" s="23115"/>
      <c r="BD82" s="23115"/>
      <c r="BE82" s="23115"/>
      <c r="BF82" s="23115"/>
      <c r="BG82" s="23115"/>
      <c r="BH82" s="23115"/>
      <c r="BI82" s="23115"/>
      <c r="BJ82" s="23115"/>
      <c r="BK82" s="23115"/>
      <c r="BL82" s="23115"/>
      <c r="BM82" s="23115"/>
      <c r="BN82" s="23115"/>
      <c r="BO82" s="23115"/>
      <c r="BP82" s="23115"/>
      <c r="BQ82" s="23115"/>
      <c r="BR82" s="23115"/>
      <c r="BS82" s="23115"/>
      <c r="BT82" s="23161"/>
      <c r="BU82" s="23339"/>
      <c r="BV82" s="23339" t="str">
        <f>IF(T82="","",T82)</f>
        <v>Добавить источник для дифференциации</v>
      </c>
      <c r="BW82" s="23339"/>
      <c r="BX82" s="23339"/>
      <c r="BY82" s="23161">
        <v>0</v>
      </c>
    </row>
    <row s="61685" customFormat="1" customHeight="1" ht="0.75">
      <c r="A83" s="23531"/>
      <c r="B83" s="23531"/>
      <c r="C83" s="23531"/>
      <c r="D83" s="23531"/>
      <c r="E83" s="23341" t="s">
        <v>103</v>
      </c>
      <c r="F83" s="23329"/>
      <c r="G83" s="23531"/>
      <c r="H83" s="23531"/>
      <c r="I83" s="23531"/>
      <c r="J83" s="23531"/>
      <c r="K83" s="23531"/>
      <c r="L83" s="23532"/>
      <c r="M83" s="23539"/>
      <c r="N83" s="23539"/>
      <c r="O83" s="23161"/>
      <c r="P83" s="23534"/>
      <c r="Q83" s="23535"/>
      <c r="R83" s="23534"/>
      <c r="S83" s="23540"/>
      <c r="T83" s="23541" t="s">
        <v>172</v>
      </c>
      <c r="U83" s="23121"/>
      <c r="V83" s="23121"/>
      <c r="W83" s="23121"/>
      <c r="X83" s="23121"/>
      <c r="Y83" s="23121"/>
      <c r="Z83" s="23121"/>
      <c r="AA83" s="23121"/>
      <c r="AB83" s="23121"/>
      <c r="AC83" s="23121"/>
      <c r="AD83" s="23121"/>
      <c r="AE83" s="23121"/>
      <c r="AF83" s="23121"/>
      <c r="AG83" s="23121"/>
      <c r="AH83" s="23121"/>
      <c r="AI83" s="23121"/>
      <c r="AJ83" s="23121"/>
      <c r="AK83" s="23121"/>
      <c r="AL83" s="23121"/>
      <c r="AM83" s="23121"/>
      <c r="AN83" s="23121"/>
      <c r="AO83" s="23121"/>
      <c r="AP83" s="23121"/>
      <c r="AQ83" s="23121"/>
      <c r="AR83" s="23121"/>
      <c r="AS83" s="23121"/>
      <c r="AT83" s="23121"/>
      <c r="AU83" s="23121"/>
      <c r="AV83" s="23121"/>
      <c r="AW83" s="23121"/>
      <c r="AX83" s="23121"/>
      <c r="AY83" s="23121"/>
      <c r="AZ83" s="23121"/>
      <c r="BA83" s="23121"/>
      <c r="BB83" s="23121"/>
      <c r="BC83" s="23121"/>
      <c r="BD83" s="23121"/>
      <c r="BE83" s="23121"/>
      <c r="BF83" s="23121"/>
      <c r="BG83" s="23121"/>
      <c r="BH83" s="23121"/>
      <c r="BI83" s="23121"/>
      <c r="BJ83" s="23121"/>
      <c r="BK83" s="23121"/>
      <c r="BL83" s="23121"/>
      <c r="BM83" s="23121"/>
      <c r="BN83" s="23121"/>
      <c r="BO83" s="23121"/>
      <c r="BP83" s="23121"/>
      <c r="BQ83" s="23121"/>
      <c r="BR83" s="23121"/>
      <c r="BS83" s="23121"/>
      <c r="BT83" s="23161"/>
      <c r="BU83" s="23339"/>
      <c r="BV83" s="23339" t="str">
        <f>IF(T83="","",T83)</f>
        <v>Добавить централизованную систему для дифференциации</v>
      </c>
      <c r="BW83" s="23339"/>
      <c r="BX83" s="23339"/>
      <c r="BY83" s="23161">
        <v>0</v>
      </c>
    </row>
    <row s="61685" customFormat="1" customHeight="1" ht="0.75">
      <c r="A84" s="23531"/>
      <c r="B84" s="23531"/>
      <c r="C84" s="23531"/>
      <c r="D84" s="23531"/>
      <c r="E84" s="23329" t="s">
        <v>103</v>
      </c>
      <c r="F84" s="23531"/>
      <c r="G84" s="23531"/>
      <c r="H84" s="23531"/>
      <c r="I84" s="23531"/>
      <c r="J84" s="23531"/>
      <c r="K84" s="23531"/>
      <c r="L84" s="23532"/>
      <c r="M84" s="23539"/>
      <c r="N84" s="23539"/>
      <c r="O84" s="23161"/>
      <c r="P84" s="23534"/>
      <c r="Q84" s="23535"/>
      <c r="R84" s="23534"/>
      <c r="S84" s="23540"/>
      <c r="T84" s="23543" t="s">
        <v>173</v>
      </c>
      <c r="U84" s="23121"/>
      <c r="V84" s="23121"/>
      <c r="W84" s="23121"/>
      <c r="X84" s="23121"/>
      <c r="Y84" s="23121"/>
      <c r="Z84" s="23121"/>
      <c r="AA84" s="23121"/>
      <c r="AB84" s="23121"/>
      <c r="AC84" s="23121"/>
      <c r="AD84" s="23121"/>
      <c r="AE84" s="23121"/>
      <c r="AF84" s="23121"/>
      <c r="AG84" s="23121"/>
      <c r="AH84" s="23121"/>
      <c r="AI84" s="23121"/>
      <c r="AJ84" s="23121"/>
      <c r="AK84" s="23121"/>
      <c r="AL84" s="23121"/>
      <c r="AM84" s="23121"/>
      <c r="AN84" s="23121"/>
      <c r="AO84" s="23121"/>
      <c r="AP84" s="23121"/>
      <c r="AQ84" s="23121"/>
      <c r="AR84" s="23121"/>
      <c r="AS84" s="23121"/>
      <c r="AT84" s="23121"/>
      <c r="AU84" s="23121"/>
      <c r="AV84" s="23121"/>
      <c r="AW84" s="23121"/>
      <c r="AX84" s="23121"/>
      <c r="AY84" s="23121"/>
      <c r="AZ84" s="23121"/>
      <c r="BA84" s="23121"/>
      <c r="BB84" s="23121"/>
      <c r="BC84" s="23121"/>
      <c r="BD84" s="23121"/>
      <c r="BE84" s="23121"/>
      <c r="BF84" s="23121"/>
      <c r="BG84" s="23121"/>
      <c r="BH84" s="23121"/>
      <c r="BI84" s="23121"/>
      <c r="BJ84" s="23121"/>
      <c r="BK84" s="23121"/>
      <c r="BL84" s="23121"/>
      <c r="BM84" s="23121"/>
      <c r="BN84" s="23121"/>
      <c r="BO84" s="23121"/>
      <c r="BP84" s="23121"/>
      <c r="BQ84" s="23121"/>
      <c r="BR84" s="23121"/>
      <c r="BS84" s="23121"/>
      <c r="BT84" s="23161"/>
      <c r="BU84" s="23339"/>
      <c r="BV84" s="23339" t="str">
        <f>IF(T84="","",T84)</f>
        <v>Добавить территорию для дифференциации</v>
      </c>
      <c r="BW84" s="23339"/>
      <c r="BX84" s="23339"/>
      <c r="BY84" s="23161">
        <v>0</v>
      </c>
    </row>
    <row s="61695" customFormat="1" customHeight="1" ht="1.05">
      <c r="A85" s="2006"/>
      <c r="B85" s="2006"/>
      <c r="C85" s="2006"/>
      <c r="D85" s="2006"/>
      <c r="E85" s="2035"/>
      <c r="F85" s="2006"/>
      <c r="G85" s="2006"/>
      <c r="H85" s="2006"/>
      <c r="I85" s="2006"/>
      <c r="J85" s="2006"/>
      <c r="K85" s="2006"/>
      <c r="L85" s="2031"/>
      <c r="M85" s="2013"/>
      <c r="N85" s="2013"/>
      <c r="P85" s="2008"/>
      <c r="Q85" s="2009"/>
      <c r="R85" s="2008"/>
      <c r="S85" s="2014"/>
      <c r="T85" s="2017" t="s">
        <v>186</v>
      </c>
      <c r="U85" s="2016"/>
      <c r="V85" s="2016"/>
      <c r="W85" s="2016"/>
      <c r="X85" s="2016"/>
      <c r="Y85" s="2016"/>
      <c r="Z85" s="2016"/>
      <c r="AA85" s="2016"/>
      <c r="AB85" s="2016"/>
      <c r="AC85" s="2016"/>
      <c r="AD85" s="2016"/>
      <c r="AE85" s="2016"/>
      <c r="AF85" s="2016"/>
      <c r="AG85" s="2016"/>
      <c r="AH85" s="2016"/>
      <c r="AI85" s="2016"/>
      <c r="AJ85" s="2016"/>
      <c r="AK85" s="2016"/>
      <c r="AL85" s="23121"/>
      <c r="AM85" s="23121"/>
      <c r="AN85" s="23121"/>
      <c r="AO85" s="23121"/>
      <c r="AP85" s="23121"/>
      <c r="AQ85" s="23121"/>
      <c r="AR85" s="23121"/>
      <c r="AS85" s="23121"/>
      <c r="AT85" s="23121"/>
      <c r="AU85" s="23121"/>
      <c r="AV85" s="23121"/>
      <c r="AW85" s="23121"/>
      <c r="AX85" s="23121"/>
      <c r="AY85" s="23121"/>
      <c r="AZ85" s="23121"/>
      <c r="BA85" s="23121"/>
      <c r="BB85" s="23121"/>
      <c r="BC85" s="23121"/>
      <c r="BD85" s="23121"/>
      <c r="BE85" s="23121"/>
      <c r="BF85" s="23121"/>
      <c r="BG85" s="23121"/>
      <c r="BH85" s="23121"/>
      <c r="BI85" s="23121"/>
      <c r="BJ85" s="23121"/>
      <c r="BK85" s="23121"/>
      <c r="BL85" s="23121"/>
      <c r="BM85" s="23121"/>
      <c r="BN85" s="23121"/>
      <c r="BO85" s="23121"/>
      <c r="BP85" s="23121"/>
      <c r="BQ85" s="23121"/>
      <c r="BR85" s="2016"/>
      <c r="BS85" s="2016"/>
      <c r="BU85" s="1481"/>
      <c r="BV85" s="1481" t="str">
        <f>IF(T85="","",T85)</f>
        <v>Добавить наименование тарифа</v>
      </c>
      <c r="BW85" s="1481"/>
      <c r="BX85" s="1481"/>
      <c r="BY85" s="1210">
        <v>1</v>
      </c>
    </row>
    <row customHeight="1" ht="11.549999999999999">
      <c r="M86" s="1852"/>
      <c r="N86" s="1852"/>
      <c r="O86" s="1229"/>
      <c r="P86" s="1847"/>
      <c r="Q86" s="1847"/>
      <c r="R86" s="1847"/>
      <c r="S86" s="1847"/>
      <c r="AL86" s="22944"/>
      <c r="AM86" s="22944"/>
      <c r="AN86" s="22944"/>
      <c r="AO86" s="22944"/>
      <c r="AP86" s="22944"/>
      <c r="AQ86" s="22944"/>
      <c r="AR86" s="22944"/>
      <c r="AS86" s="22944"/>
      <c r="AT86" s="22944"/>
      <c r="AU86" s="22944"/>
      <c r="AV86" s="22944"/>
      <c r="AW86" s="22944"/>
      <c r="AX86" s="22944"/>
      <c r="AY86" s="22944"/>
      <c r="AZ86" s="22944"/>
      <c r="BA86" s="22944"/>
      <c r="BB86" s="22944"/>
      <c r="BC86" s="22944"/>
      <c r="BD86" s="22944"/>
      <c r="BE86" s="22944"/>
      <c r="BF86" s="22944"/>
      <c r="BG86" s="22944"/>
      <c r="BH86" s="22944"/>
      <c r="BI86" s="22944"/>
      <c r="BJ86" s="22944"/>
      <c r="BK86" s="22944"/>
      <c r="BL86" s="22944"/>
      <c r="BM86" s="22944"/>
      <c r="BN86" s="22944"/>
      <c r="BO86" s="22944"/>
      <c r="BP86" s="22944"/>
      <c r="BQ86" s="22944"/>
      <c r="BT86" s="1847"/>
      <c r="BU86" s="1847"/>
      <c r="BV86" s="1847"/>
      <c r="BW86" s="1847"/>
      <c r="BX86" s="1847"/>
      <c r="BY86" s="1847">
        <v>11</v>
      </c>
    </row>
    <row customHeight="1" ht="28.5">
      <c r="O87" s="1229"/>
      <c r="S87" s="1945"/>
      <c r="T87" s="2977"/>
      <c r="U87" s="2977"/>
      <c r="V87" s="2977"/>
      <c r="W87" s="2977"/>
      <c r="X87" s="2977"/>
      <c r="Y87" s="2977"/>
      <c r="Z87" s="2977"/>
      <c r="AA87" s="2977"/>
      <c r="AB87" s="2977"/>
      <c r="AC87" s="2977"/>
      <c r="AD87" s="2977"/>
      <c r="AE87" s="2977"/>
      <c r="AF87" s="2977"/>
      <c r="AG87" s="2977"/>
      <c r="AH87" s="2977"/>
      <c r="AI87" s="2977"/>
      <c r="AJ87" s="2977"/>
      <c r="AK87" s="2977"/>
      <c r="AL87" s="23718"/>
      <c r="AM87" s="23718"/>
      <c r="AN87" s="23718"/>
      <c r="AO87" s="23718"/>
      <c r="AP87" s="23718"/>
      <c r="AQ87" s="23718"/>
      <c r="AR87" s="23718"/>
      <c r="AS87" s="23718"/>
      <c r="AT87" s="23718"/>
      <c r="AU87" s="23718"/>
      <c r="AV87" s="23718"/>
      <c r="AW87" s="23718"/>
      <c r="AX87" s="23718"/>
      <c r="AY87" s="23718"/>
      <c r="AZ87" s="23718"/>
      <c r="BA87" s="23718"/>
      <c r="BB87" s="23718"/>
      <c r="BC87" s="23718"/>
      <c r="BD87" s="23718"/>
      <c r="BE87" s="23718"/>
      <c r="BF87" s="23718"/>
      <c r="BG87" s="23718"/>
      <c r="BH87" s="23718"/>
      <c r="BI87" s="23718"/>
      <c r="BJ87" s="23718"/>
      <c r="BK87" s="23718"/>
      <c r="BL87" s="23718"/>
      <c r="BM87" s="23718"/>
      <c r="BN87" s="23718"/>
      <c r="BO87" s="23718"/>
      <c r="BP87" s="23718"/>
      <c r="BQ87" s="23718"/>
      <c r="BR87" s="2977"/>
      <c r="BS87" s="2977"/>
      <c r="BY87" s="1847">
        <v>27</v>
      </c>
    </row>
    <row customHeight="1" ht="67.2">
      <c r="O88" s="1229"/>
      <c r="P88" s="1995"/>
      <c r="T88" s="2977"/>
      <c r="U88" s="2977"/>
      <c r="V88" s="2977"/>
      <c r="W88" s="2977"/>
      <c r="X88" s="2977"/>
      <c r="Y88" s="2977"/>
      <c r="Z88" s="2977"/>
      <c r="AA88" s="2977"/>
      <c r="AB88" s="2977"/>
      <c r="AC88" s="2977"/>
      <c r="AD88" s="2977"/>
      <c r="AE88" s="2977"/>
      <c r="AF88" s="2977"/>
      <c r="AG88" s="2977"/>
      <c r="AH88" s="2977"/>
      <c r="AI88" s="2977"/>
      <c r="AJ88" s="2977"/>
      <c r="AK88" s="2977"/>
      <c r="AL88" s="23718"/>
      <c r="AM88" s="23718"/>
      <c r="AN88" s="23718"/>
      <c r="AO88" s="23718"/>
      <c r="AP88" s="23718"/>
      <c r="AQ88" s="23718"/>
      <c r="AR88" s="23718"/>
      <c r="AS88" s="23718"/>
      <c r="AT88" s="23718"/>
      <c r="AU88" s="23718"/>
      <c r="AV88" s="23718"/>
      <c r="AW88" s="23718"/>
      <c r="AX88" s="23718"/>
      <c r="AY88" s="23718"/>
      <c r="AZ88" s="23718"/>
      <c r="BA88" s="23718"/>
      <c r="BB88" s="23718"/>
      <c r="BC88" s="23718"/>
      <c r="BD88" s="23718"/>
      <c r="BE88" s="23718"/>
      <c r="BF88" s="23718"/>
      <c r="BG88" s="23718"/>
      <c r="BH88" s="23718"/>
      <c r="BI88" s="23718"/>
      <c r="BJ88" s="23718"/>
      <c r="BK88" s="23718"/>
      <c r="BL88" s="23718"/>
      <c r="BM88" s="23718"/>
      <c r="BN88" s="23718"/>
      <c r="BO88" s="23718"/>
      <c r="BP88" s="23718"/>
      <c r="BQ88" s="23718"/>
      <c r="BR88" s="2977"/>
      <c r="BS88" s="2977"/>
      <c r="BY88" s="1847">
        <v>64</v>
      </c>
    </row>
    <row customHeight="1" ht="14.699999999999998">
      <c r="O89" s="1229"/>
      <c r="AL89" s="22944"/>
      <c r="AM89" s="22944"/>
      <c r="AN89" s="22944"/>
      <c r="AO89" s="22944"/>
      <c r="AP89" s="22944"/>
      <c r="AQ89" s="22944"/>
      <c r="AR89" s="22944"/>
      <c r="AS89" s="22944"/>
      <c r="AT89" s="22944"/>
      <c r="AU89" s="22944"/>
      <c r="AV89" s="22944"/>
      <c r="AW89" s="22944"/>
      <c r="AX89" s="22944"/>
      <c r="AY89" s="22944"/>
      <c r="AZ89" s="22944"/>
      <c r="BA89" s="22944"/>
      <c r="BB89" s="22944"/>
      <c r="BC89" s="22944"/>
      <c r="BD89" s="22944"/>
      <c r="BE89" s="22944"/>
      <c r="BF89" s="22944"/>
      <c r="BG89" s="22944"/>
      <c r="BH89" s="22944"/>
      <c r="BI89" s="22944"/>
      <c r="BJ89" s="22944"/>
      <c r="BK89" s="22944"/>
      <c r="BL89" s="22944"/>
      <c r="BM89" s="22944"/>
      <c r="BN89" s="22944"/>
      <c r="BO89" s="22944"/>
      <c r="BP89" s="22944"/>
      <c r="BQ89" s="22944"/>
      <c r="BY89" s="1847">
        <v>14</v>
      </c>
    </row>
    <row customHeight="1" ht="18.75">
      <c r="O90" s="1229"/>
      <c r="P90" s="2020"/>
      <c r="S90" s="1945"/>
      <c r="T90" s="2977"/>
      <c r="U90" s="2977"/>
      <c r="V90" s="2977"/>
      <c r="W90" s="2977"/>
      <c r="X90" s="2977"/>
      <c r="Y90" s="2977"/>
      <c r="Z90" s="2977"/>
      <c r="AA90" s="2977"/>
      <c r="AB90" s="2977"/>
      <c r="AC90" s="2977"/>
      <c r="AD90" s="2977"/>
      <c r="AE90" s="2977"/>
      <c r="AF90" s="2977"/>
      <c r="AG90" s="2977"/>
      <c r="AH90" s="2977"/>
      <c r="AI90" s="2977"/>
      <c r="AJ90" s="2977"/>
      <c r="AK90" s="2977"/>
      <c r="AL90" s="23718"/>
      <c r="AM90" s="23718"/>
      <c r="AN90" s="23718"/>
      <c r="AO90" s="23718"/>
      <c r="AP90" s="23718"/>
      <c r="AQ90" s="23718"/>
      <c r="AR90" s="23718"/>
      <c r="AS90" s="23718"/>
      <c r="AT90" s="23718"/>
      <c r="AU90" s="23718"/>
      <c r="AV90" s="23718"/>
      <c r="AW90" s="23718"/>
      <c r="AX90" s="23718"/>
      <c r="AY90" s="23718"/>
      <c r="AZ90" s="23718"/>
      <c r="BA90" s="23718"/>
      <c r="BB90" s="23718"/>
      <c r="BC90" s="23718"/>
      <c r="BD90" s="23718"/>
      <c r="BE90" s="23718"/>
      <c r="BF90" s="23718"/>
      <c r="BG90" s="23718"/>
      <c r="BH90" s="23718"/>
      <c r="BI90" s="23718"/>
      <c r="BJ90" s="23718"/>
      <c r="BK90" s="23718"/>
      <c r="BL90" s="23718"/>
      <c r="BM90" s="23718"/>
      <c r="BN90" s="23718"/>
      <c r="BO90" s="23718"/>
      <c r="BP90" s="23718"/>
      <c r="BQ90" s="23718"/>
      <c r="BR90" s="2977"/>
      <c r="BS90" s="2977"/>
      <c r="BY90" s="1847">
        <v>18</v>
      </c>
    </row>
    <row customHeight="1" ht="18.75">
      <c r="O91" s="1229"/>
      <c r="P91" s="2020"/>
      <c r="T91" s="2977"/>
      <c r="U91" s="2977"/>
      <c r="V91" s="2977"/>
      <c r="W91" s="2977"/>
      <c r="X91" s="2977"/>
      <c r="Y91" s="2977"/>
      <c r="Z91" s="2977"/>
      <c r="AA91" s="2977"/>
      <c r="AB91" s="2977"/>
      <c r="AC91" s="2977"/>
      <c r="AD91" s="2977"/>
      <c r="AE91" s="2977"/>
      <c r="AF91" s="2977"/>
      <c r="AG91" s="2977"/>
      <c r="AH91" s="2977"/>
      <c r="AI91" s="2977"/>
      <c r="AJ91" s="2977"/>
      <c r="AK91" s="2977"/>
      <c r="AL91" s="23718"/>
      <c r="AM91" s="23718"/>
      <c r="AN91" s="23718"/>
      <c r="AO91" s="23718"/>
      <c r="AP91" s="23718"/>
      <c r="AQ91" s="23718"/>
      <c r="AR91" s="23718"/>
      <c r="AS91" s="23718"/>
      <c r="AT91" s="23718"/>
      <c r="AU91" s="23718"/>
      <c r="AV91" s="23718"/>
      <c r="AW91" s="23718"/>
      <c r="AX91" s="23718"/>
      <c r="AY91" s="23718"/>
      <c r="AZ91" s="23718"/>
      <c r="BA91" s="23718"/>
      <c r="BB91" s="23718"/>
      <c r="BC91" s="23718"/>
      <c r="BD91" s="23718"/>
      <c r="BE91" s="23718"/>
      <c r="BF91" s="23718"/>
      <c r="BG91" s="23718"/>
      <c r="BH91" s="23718"/>
      <c r="BI91" s="23718"/>
      <c r="BJ91" s="23718"/>
      <c r="BK91" s="23718"/>
      <c r="BL91" s="23718"/>
      <c r="BM91" s="23718"/>
      <c r="BN91" s="23718"/>
      <c r="BO91" s="23718"/>
      <c r="BP91" s="23718"/>
      <c r="BQ91" s="23718"/>
      <c r="BR91" s="2977"/>
      <c r="BS91" s="2977"/>
      <c r="BY91" s="1847">
        <v>18</v>
      </c>
    </row>
    <row customHeight="1" ht="29.25">
      <c r="O92" s="1229"/>
      <c r="P92" s="2020"/>
      <c r="S92" s="1945"/>
      <c r="T92" s="2977"/>
      <c r="U92" s="2977"/>
      <c r="V92" s="2977"/>
      <c r="W92" s="2977"/>
      <c r="X92" s="2977"/>
      <c r="Y92" s="2977"/>
      <c r="Z92" s="2977"/>
      <c r="AA92" s="2977"/>
      <c r="AB92" s="2977"/>
      <c r="AC92" s="2977"/>
      <c r="AD92" s="2977"/>
      <c r="AE92" s="2977"/>
      <c r="AF92" s="2977"/>
      <c r="AG92" s="2977"/>
      <c r="AH92" s="2977"/>
      <c r="AI92" s="2977"/>
      <c r="AJ92" s="2977"/>
      <c r="AK92" s="2977"/>
      <c r="AL92" s="23718"/>
      <c r="AM92" s="23718"/>
      <c r="AN92" s="23718"/>
      <c r="AO92" s="23718"/>
      <c r="AP92" s="23718"/>
      <c r="AQ92" s="23718"/>
      <c r="AR92" s="23718"/>
      <c r="AS92" s="23718"/>
      <c r="AT92" s="23718"/>
      <c r="AU92" s="23718"/>
      <c r="AV92" s="23718"/>
      <c r="AW92" s="23718"/>
      <c r="AX92" s="23718"/>
      <c r="AY92" s="23718"/>
      <c r="AZ92" s="23718"/>
      <c r="BA92" s="23718"/>
      <c r="BB92" s="23718"/>
      <c r="BC92" s="23718"/>
      <c r="BD92" s="23718"/>
      <c r="BE92" s="23718"/>
      <c r="BF92" s="23718"/>
      <c r="BG92" s="23718"/>
      <c r="BH92" s="23718"/>
      <c r="BI92" s="23718"/>
      <c r="BJ92" s="23718"/>
      <c r="BK92" s="23718"/>
      <c r="BL92" s="23718"/>
      <c r="BM92" s="23718"/>
      <c r="BN92" s="23718"/>
      <c r="BO92" s="23718"/>
      <c r="BP92" s="23718"/>
      <c r="BQ92" s="23718"/>
      <c r="BR92" s="2977"/>
      <c r="BS92" s="2977"/>
      <c r="BY92" s="1847">
        <v>28</v>
      </c>
    </row>
    <row customHeight="1" ht="22.5" hidden="1">
      <c r="A93" s="1852" t="s">
        <v>83</v>
      </c>
      <c r="B93" s="1852">
        <v>0</v>
      </c>
      <c r="C93" s="1852">
        <v>0</v>
      </c>
      <c r="D93" s="1852">
        <v>0</v>
      </c>
      <c r="E93" s="1852">
        <v>0</v>
      </c>
      <c r="F93" s="1852">
        <v>0</v>
      </c>
      <c r="G93" s="1852">
        <v>0</v>
      </c>
      <c r="H93" s="1852">
        <v>0</v>
      </c>
      <c r="I93" s="1852">
        <v>0</v>
      </c>
      <c r="J93" s="1852">
        <v>0</v>
      </c>
      <c r="K93" s="1852">
        <v>0</v>
      </c>
      <c r="L93" s="2021">
        <v>0</v>
      </c>
      <c r="M93" s="2054">
        <v>0</v>
      </c>
      <c r="N93" s="2054">
        <v>0</v>
      </c>
      <c r="O93" s="2054">
        <v>0</v>
      </c>
      <c r="P93" s="1910">
        <v>3</v>
      </c>
      <c r="Q93" s="1036">
        <v>3</v>
      </c>
      <c r="R93" s="1036">
        <v>3</v>
      </c>
      <c r="S93" s="1273">
        <v>12</v>
      </c>
      <c r="T93" s="1847">
        <v>35</v>
      </c>
      <c r="U93" s="1847">
        <v>0</v>
      </c>
      <c r="V93" s="1847">
        <v>0</v>
      </c>
      <c r="W93" s="1847">
        <v>0</v>
      </c>
      <c r="X93" s="1847">
        <v>0</v>
      </c>
      <c r="Y93" s="1847">
        <v>0</v>
      </c>
      <c r="Z93" s="1847">
        <v>0</v>
      </c>
      <c r="AA93" s="1847">
        <v>0</v>
      </c>
      <c r="AB93" s="1847">
        <v>0</v>
      </c>
      <c r="AC93" s="1847">
        <v>0</v>
      </c>
      <c r="AD93" s="1847">
        <v>24</v>
      </c>
      <c r="AE93" s="1847">
        <v>0</v>
      </c>
      <c r="AF93" s="1847">
        <v>24</v>
      </c>
      <c r="AG93" s="1847">
        <v>24</v>
      </c>
      <c r="AH93" s="1847">
        <v>11</v>
      </c>
      <c r="AI93" s="1847">
        <v>3</v>
      </c>
      <c r="AJ93" s="1847">
        <v>11</v>
      </c>
      <c r="AK93" s="1847">
        <v>0</v>
      </c>
      <c r="AL93" s="22944">
        <v>0</v>
      </c>
      <c r="AM93" s="22944">
        <v>0</v>
      </c>
      <c r="AN93" s="22944">
        <v>0</v>
      </c>
      <c r="AO93" s="22944">
        <v>0</v>
      </c>
      <c r="AP93" s="22944">
        <v>0</v>
      </c>
      <c r="AQ93" s="22944">
        <v>0</v>
      </c>
      <c r="AR93" s="22944">
        <v>0</v>
      </c>
      <c r="AS93" s="22944">
        <v>0</v>
      </c>
      <c r="AT93" s="22944">
        <v>0</v>
      </c>
      <c r="AU93" s="22944">
        <v>0</v>
      </c>
      <c r="AV93" s="22944">
        <v>0</v>
      </c>
      <c r="AW93" s="22944">
        <v>0</v>
      </c>
      <c r="AX93" s="22944">
        <v>0</v>
      </c>
      <c r="AY93" s="22944">
        <v>0</v>
      </c>
      <c r="AZ93" s="22944">
        <v>0</v>
      </c>
      <c r="BA93" s="22944">
        <v>0</v>
      </c>
      <c r="BB93" s="22944">
        <v>0</v>
      </c>
      <c r="BC93" s="22944">
        <v>0</v>
      </c>
      <c r="BD93" s="22944">
        <v>0</v>
      </c>
      <c r="BE93" s="22944">
        <v>0</v>
      </c>
      <c r="BF93" s="22944">
        <v>0</v>
      </c>
      <c r="BG93" s="22944">
        <v>0</v>
      </c>
      <c r="BH93" s="22944">
        <v>0</v>
      </c>
      <c r="BI93" s="22944">
        <v>0</v>
      </c>
      <c r="BJ93" s="22944">
        <v>0</v>
      </c>
      <c r="BK93" s="22944">
        <v>0</v>
      </c>
      <c r="BL93" s="22944">
        <v>0</v>
      </c>
      <c r="BM93" s="22944">
        <v>0</v>
      </c>
      <c r="BN93" s="22944">
        <v>0</v>
      </c>
      <c r="BO93" s="22944">
        <v>0</v>
      </c>
      <c r="BP93" s="22944">
        <v>0</v>
      </c>
      <c r="BQ93" s="22944">
        <v>0</v>
      </c>
      <c r="BR93" s="1847">
        <v>4</v>
      </c>
      <c r="BS93" s="1847">
        <v>115</v>
      </c>
      <c r="BT93" s="1203">
        <v>10</v>
      </c>
      <c r="BU93" s="1203">
        <v>10</v>
      </c>
      <c r="BV93" s="1203">
        <v>10</v>
      </c>
      <c r="BW93" s="1203">
        <v>10</v>
      </c>
      <c r="BX93" s="1203">
        <v>10</v>
      </c>
      <c r="BY93" s="1847">
        <v>23</v>
      </c>
    </row>
  </sheetData>
  <sheetProtection sheet="1" formatColumns="0" formatRows="0" autoFilter="0" sort="1" insertRows="1" insertColumns="1" deleteRows="1" deleteColumns="1"/>
  <mergeCells count="296">
    <mergeCell ref="V7:AC7"/>
    <mergeCell ref="AD7:BR7"/>
    <mergeCell ref="S34:T34"/>
    <mergeCell ref="V34:AB34"/>
    <mergeCell ref="AD34:AJ34"/>
    <mergeCell ref="S35:T35"/>
    <mergeCell ref="V35:AB35"/>
    <mergeCell ref="AD35:AJ35"/>
    <mergeCell ref="V2:AC2"/>
    <mergeCell ref="AD2:BR2"/>
    <mergeCell ref="V3:AC3"/>
    <mergeCell ref="AD3:BR3"/>
    <mergeCell ref="V4:AC4"/>
    <mergeCell ref="AD4:BR4"/>
    <mergeCell ref="V5:AC5"/>
    <mergeCell ref="AD5:BR5"/>
    <mergeCell ref="V6:AC6"/>
    <mergeCell ref="AD6:BR6"/>
    <mergeCell ref="AI17:AI18"/>
    <mergeCell ref="AJ17:AJ18"/>
    <mergeCell ref="AK17:AK18"/>
    <mergeCell ref="AK8:AK9"/>
    <mergeCell ref="AD29:AJ29"/>
    <mergeCell ref="AD30:AJ30"/>
    <mergeCell ref="T90:BS90"/>
    <mergeCell ref="T91:BS91"/>
    <mergeCell ref="T92:BS92"/>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87:BS87"/>
    <mergeCell ref="W40:W41"/>
    <mergeCell ref="T88:BS88"/>
    <mergeCell ref="Z49:Z50"/>
    <mergeCell ref="AA49:AA50"/>
    <mergeCell ref="AB49:AB50"/>
    <mergeCell ref="Z40:AB40"/>
    <mergeCell ref="AA41:AB41"/>
    <mergeCell ref="AA42:AB42"/>
    <mergeCell ref="V37:AC37"/>
    <mergeCell ref="S38:BR38"/>
    <mergeCell ref="BS38:BS41"/>
    <mergeCell ref="S39:S41"/>
    <mergeCell ref="T39:T41"/>
    <mergeCell ref="V39:AB39"/>
    <mergeCell ref="AC39:AC41"/>
    <mergeCell ref="BR39:BR41"/>
    <mergeCell ref="AI42:AJ42"/>
    <mergeCell ref="AD39:AJ39"/>
    <mergeCell ref="AK39:AK41"/>
    <mergeCell ref="AD40:AD41"/>
    <mergeCell ref="AE40:AE41"/>
    <mergeCell ref="AF40:AG40"/>
    <mergeCell ref="AH40:AJ40"/>
    <mergeCell ref="AI41:AJ41"/>
    <mergeCell ref="AC49:AC50"/>
    <mergeCell ref="BS49:BS51"/>
    <mergeCell ref="BS8:BS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BR43"/>
    <mergeCell ref="AD44:BR44"/>
    <mergeCell ref="AD45:BR45"/>
    <mergeCell ref="AD46:BR46"/>
    <mergeCell ref="AD47:BR47"/>
    <mergeCell ref="AD48:BR48"/>
    <mergeCell ref="V62:AC62"/>
    <mergeCell ref="AD62:BR62"/>
    <mergeCell ref="V57:AC57"/>
    <mergeCell ref="AD57:BR57"/>
    <mergeCell ref="V58:AC58"/>
    <mergeCell ref="AD58:BR58"/>
    <mergeCell ref="V59:AC59"/>
    <mergeCell ref="AD59:BR59"/>
    <mergeCell ref="V60:AC60"/>
    <mergeCell ref="AD60:BR60"/>
    <mergeCell ref="V61:AC61"/>
    <mergeCell ref="AD61:BR61"/>
    <mergeCell ref="AK63:AK64"/>
    <mergeCell ref="E57:E70"/>
    <mergeCell ref="F58:F69"/>
    <mergeCell ref="G59:G68"/>
    <mergeCell ref="H60:H67"/>
    <mergeCell ref="I61:I66"/>
    <mergeCell ref="J62:J65"/>
    <mergeCell ref="BS63:BS65"/>
    <mergeCell ref="K63:K64"/>
    <mergeCell ref="P61:P66"/>
    <mergeCell ref="Q62:Q65"/>
    <mergeCell ref="AH63:AH64"/>
    <mergeCell ref="AI63:AI64"/>
    <mergeCell ref="AJ63:AJ64"/>
    <mergeCell ref="Z63:Z64"/>
    <mergeCell ref="AA63:AA64"/>
    <mergeCell ref="AB63:AB64"/>
    <mergeCell ref="AC63:AC64"/>
    <mergeCell ref="V76:AC76"/>
    <mergeCell ref="AD76:BR76"/>
    <mergeCell ref="V71:AC71"/>
    <mergeCell ref="AD71:BR71"/>
    <mergeCell ref="V72:AC72"/>
    <mergeCell ref="AD72:BR72"/>
    <mergeCell ref="V73:AC73"/>
    <mergeCell ref="AD73:BR73"/>
    <mergeCell ref="V74:AC74"/>
    <mergeCell ref="AD74:BR74"/>
    <mergeCell ref="V75:AC75"/>
    <mergeCell ref="AD75:BR75"/>
    <mergeCell ref="AK77:AK78"/>
    <mergeCell ref="E71:E84"/>
    <mergeCell ref="F72:F83"/>
    <mergeCell ref="G73:G82"/>
    <mergeCell ref="H74:H81"/>
    <mergeCell ref="I75:I80"/>
    <mergeCell ref="J76:J79"/>
    <mergeCell ref="BS77:BS79"/>
    <mergeCell ref="K77:K78"/>
    <mergeCell ref="P75:P80"/>
    <mergeCell ref="Q76:Q79"/>
    <mergeCell ref="AH77:AH78"/>
    <mergeCell ref="AI77:AI78"/>
    <mergeCell ref="AJ77:AJ78"/>
    <mergeCell ref="Z77:Z78"/>
    <mergeCell ref="AA77:AA78"/>
    <mergeCell ref="AB77:AB78"/>
    <mergeCell ref="AC77:AC78"/>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63:AP64"/>
    <mergeCell ref="AQ63:AQ64"/>
    <mergeCell ref="AR63:AR64"/>
    <mergeCell ref="AS63:AS64"/>
    <mergeCell ref="AP77:AP78"/>
    <mergeCell ref="AQ77:AQ78"/>
    <mergeCell ref="AR77:AR78"/>
    <mergeCell ref="AS77:AS78"/>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63:AX64"/>
    <mergeCell ref="AY63:AY64"/>
    <mergeCell ref="AZ63:AZ64"/>
    <mergeCell ref="BA63:BA64"/>
    <mergeCell ref="AX77:AX78"/>
    <mergeCell ref="AY77:AY78"/>
    <mergeCell ref="AZ77:AZ78"/>
    <mergeCell ref="BA77:BA78"/>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63:BF64"/>
    <mergeCell ref="BG63:BG64"/>
    <mergeCell ref="BH63:BH64"/>
    <mergeCell ref="BI63:BI64"/>
    <mergeCell ref="BF77:BF78"/>
    <mergeCell ref="BG77:BG78"/>
    <mergeCell ref="BH77:BH78"/>
    <mergeCell ref="BI77:BI78"/>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63:BN64"/>
    <mergeCell ref="BO63:BO64"/>
    <mergeCell ref="BP63:BP64"/>
    <mergeCell ref="BQ63:BQ64"/>
    <mergeCell ref="BN77:BN78"/>
    <mergeCell ref="BO77:BO78"/>
    <mergeCell ref="BP77:BP78"/>
    <mergeCell ref="BQ77:BQ78"/>
  </mergeCells>
  <dataValidations count="8">
    <dataValidation allowBlank="1" showInputMessage="1" showErrorMessage="1" prompt="Для выбора выполните двойной щелчок левой клавиши мыши по соответствующей ячейке." sqref="AA65613 AA131149 AA196685 AA262221 AA327757 AA393293 AA458829 AA524365 AA589901 AA655437 AA720973 AA786509 AA852045 AA917581 AA983117 AC131149 AC458829 AC196685 AC262221 AC327757 AC393293 AC524365 AC589901 AC655437 AC720973 AC786509 AC852045 AC917581 AC983117 AC65613 AI65613 AI131149 AI196685 AI262221 AI327757 AI393293 AI458829 AI524365 AI589901 AI655437 AI720973 AI786509 AI852045 AI917581 AI983117 AK327757:BQ327757 AK393293:BQ393293 AK49 AQ49 AS49 AY49 BA49 BG49 BI49 BO49 BQ49 AK524365:BQ524365 AK8 AQ8 AS8 AY8 BA8 BG8 BI8 BO8 BQ8 AK589901:BQ589901 AK655437:BQ655437 AK17 AK720973:BQ720973 AK786509:BQ786509 AK852045:BQ852045 AK917581:BQ917581 AK983117:BQ983117 AK65613:BQ65613 AK131149:BQ131149 AI49 AK458829:BQ458829 AI8 AC8 AA8 AI17 AK196685:BQ196685 AA49 AC49 AK262221:BQ262221 AA63 AC63 AI63 AK63 AQ63 AS63 AY63 BA63 BG63 BI63 BO63 BQ63 AA77 AC77 AI77 AK77 AQ77 AS77 AY77 BA77 BG77 BI77 BO77 BQ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3 Z131149 Z196685 Z262221 Z327757 Z393293 Z458829 Z524365 Z589901 Z655437 Z720973 Z786509 Z852045 Z917581 Z983117 AB65613 AB131149 AB196685 AB262221 AB327757 AB393293 AB458829 AB524365 AB589901 AB655437 AB720973 AB786509 AB852045 AB917581 AB983117 Z8 AH65613 AH131149 AH196685 AH262221 AH327757 AH393293 AH458829 AH524365 AH589901 AH655437 AH720973 AH786509 AH852045 AH917581 AH983117 AJ65613 AJ131149 AJ196685 AJ262221 AJ327757 AJ393293 AJ458829 AJ524365 AJ589901 AJ655437 AJ720973 AJ786509 AJ852045 AJ917581 AJ983117 AJ49 AH49 AH8 AJ8 AB8 AH17 AJ17 Z49 AB49 Z63 AB63 AH63 AJ63 Z77 AB77 AH77 AJ77 AP8 AR8 AP49 AR49 AP63 AR63 AP77 AR77 AX8 AZ8 AX49 AZ49 AX63 AZ63 AX77 AZ77 BF8 BH8 BF49 BH49 BF63 BH63 BF77 BH77 BN8 BP8 BN49 BP49 BN63 BP63 BN77 BP77"/>
    <dataValidation type="list" allowBlank="1" showInputMessage="1" showErrorMessage="1" errorTitle="Ошибка" error="Выберите значение из списка" sqref="T65613 T131149 T196685 T262221 T327757 T393293 T458829 T524365 T589901 T655437 T720973 T786509 T852045 T917581 T983117">
      <formula1>kind_of_heat_transfer</formula1>
    </dataValidation>
    <dataValidation type="textLength" operator="lessThanOrEqual" allowBlank="1" showInputMessage="1" showErrorMessage="1" errorTitle="Ошибка" error="Допускается ввод не более 900 символов!" sqref="BS65607:BS65614 BS131143:BS131150 BS196679:BS196686 BS262215:BS262222 BS327751:BS327758 BS393287:BS393294 BS458823:BS458830 BS524359:BS524366 BS589895:BS589902 BS655431:BS655438 BS720967:BS720974 BS786503:BS786510 BS852039:BS852046 BS917575:BS917582 BS983111:BS983118">
      <formula1>900</formula1>
    </dataValidation>
    <dataValidation type="list" allowBlank="1" showInputMessage="1" showErrorMessage="1" errorTitle="Ошибка" error="Выберите значение из списка" sqref="V983115:W983115 V65611:W65611 V131147:W131147 V196683:W196683 V262219:W262219 V327755:W327755 V393291:W393291 V458827:W458827 V524363:W524363 V589899:W589899 V655435:W655435 V720971:W720971 V786507:W786507 V852043:W852043 V917579:W917579 AD983115:AE983115 AD65611:AE65611 AD131147:AE131147 AD196683:AE196683 AD262219:AE262219 AD327755:AE327755 AD393291:AE393291 AD458827:AE458827 AD524363:AE524363 AD589899:AE589899 AD655435:AE655435 AD720971:AE720971 AD786507:AE786507 AD852043:AE852043 AD917579:AE917579">
      <formula1>kind_of_scheme_in</formula1>
    </dataValidation>
    <dataValidation allowBlank="1" promptTitle="checkPeriodRange" sqref="Y65614 Y131150 Y196686 Y262222 Y327758 Y393294 Y458830 Y524366 Y589902 Y655438 Y720974 Y786510 Y852046 Y917582 Y983118 Y9 AG65614 AG131150 AG196686 AG262222 AG327758 AG393294 AG458830 AG524366 AG589902 AG655438 AG720974 AG786510 AG852046 AG917582 AG983118 AG9 Y50 AG18 AG50 Y64 AG64 Y78 AG78 AO9 AO50 AO64 AO78 AW9 AW50 AW64 AW78 BE9 BE50 BE64 BE78 BM9 BM50 BM64 BM78"/>
    <dataValidation type="list" allowBlank="1" showInputMessage="1" errorTitle="Ошибка" error="Выберите значение из списка" prompt="Выберите значение из списка" sqref="V983116:BR983116 V65612:BR65612 V131148:BR131148 V196684:BR196684 V262220:BR262220 V327756:BR327756 V393292:BR393292 V458828:BR458828 V524364:BR524364 V589900:BR589900 V655436:BR655436 V720972:BR720972 V786508:BR786508 V852044:BR852044 V917580:BR917580">
      <formula1>kind_of_cons</formula1>
    </dataValidation>
    <dataValidation allowBlank="1" sqref="S131151:BS131157 S196687:BS196693 S262223:BS262229 S327759:BS327765 S393295:BS393301 S458831:BS458837 S524367:BS524373 S589903:BS589909 S655439:BS655445 S720975:BS720981 S786511:BS786517 S852047:BS852053 S917583:BS917589 S983119:BS983125 S65615:BS6562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2A4D4A-EF87-6539-ED9B-10F353326F38}" mc:Ignorable="x14ac xr xr2 xr3">
  <sheetPr>
    <tabColor theme="6" tint="0.4"/>
  </sheetPr>
  <dimension ref="A1:BY135"/>
  <sheetViews>
    <sheetView showGridLines="0" zoomScale="90" workbookViewId="0">
      <pane xSplit="29" ySplit="42" topLeftCell="BE97" activePane="bottomRight" state="frozen"/>
      <selection pane="bottomLeft" activeCell="A43" sqref="A43"/>
      <selection pane="topRight" activeCell="AD1" sqref="AD1"/>
      <selection pane="bottomRight" activeCell="T129" sqref="T129:BS129"/>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2.00390625" hidden="1" customWidth="1"/>
    <col min="10" max="10" style="62148" width="9.8515625" hidden="1" customWidth="1"/>
    <col min="11" max="11" style="62148" width="11.421875" hidden="1" customWidth="1"/>
    <col min="12" max="12" style="63164" width="19.140625" hidden="1" customWidth="1"/>
    <col min="13" max="14" style="61371" width="12.28125" hidden="1" customWidth="1"/>
    <col min="15" max="15" style="61371" width="23.421875" hidden="1" customWidth="1"/>
    <col min="16" max="16" style="63184" width="3.00390625" customWidth="1"/>
    <col min="17" max="18" style="62288" width="3.00390625" customWidth="1"/>
    <col min="19" max="19" style="63156" width="12.00390625" customWidth="1"/>
    <col min="20" max="20" style="62286" width="31.00390625" customWidth="1"/>
    <col min="21" max="21" style="62286" width="0.140625" customWidth="1"/>
    <col min="22" max="22" style="62286" width="24.7109375" hidden="1" customWidth="1"/>
    <col min="23" max="23" style="62286" width="0.140625" hidden="1" customWidth="1"/>
    <col min="24" max="25" style="62286" width="24.7109375" hidden="1" customWidth="1"/>
    <col min="26" max="26" style="62286" width="11.7109375" hidden="1" customWidth="1"/>
    <col min="27" max="27" style="62286" width="3.7109375" hidden="1" customWidth="1"/>
    <col min="28" max="28" style="62286" width="11.7109375" hidden="1" customWidth="1"/>
    <col min="29" max="29" style="62286" width="8.57421875" hidden="1" customWidth="1"/>
    <col min="30" max="30" style="62286" width="24.00390625" customWidth="1"/>
    <col min="31" max="31" style="62286" width="0.140625" customWidth="1"/>
    <col min="32" max="33" style="62286" width="24.00390625" customWidth="1"/>
    <col min="34" max="34" style="62286" width="11.00390625" customWidth="1"/>
    <col min="35" max="35" style="62286" width="3.7109375" customWidth="1"/>
    <col min="36" max="36" style="62286" width="11.00390625" customWidth="1"/>
    <col min="37" max="37" style="62286" width="8.57421875" customWidth="1"/>
    <col min="39" max="39" style="63225" width="0.140625" customWidth="1"/>
    <col min="47" max="47" style="63225" width="0.28125" customWidth="1"/>
    <col min="55" max="55" style="63225" width="0" customWidth="1"/>
    <col min="63" max="63" style="63225" width="0" customWidth="1"/>
    <col min="69" max="69" style="63225" width="10.57421875" hidden="1"/>
    <col min="70" max="70" style="62286" width="4.00390625" customWidth="1"/>
    <col min="71" max="71" style="62286" width="115.00390625" customWidth="1"/>
    <col min="72" max="76" style="61695" width="10.00390625" customWidth="1"/>
    <col min="77" max="77" style="62286" width="10.57421875" hidden="1"/>
  </cols>
  <sheetData>
    <row customHeight="1" ht="22.5" hidden="1">
      <c r="Y1" s="1019"/>
      <c r="Z1" s="1019"/>
      <c r="AG1" s="1019"/>
      <c r="AH1" s="1019"/>
      <c r="AL1" s="22944"/>
      <c r="AM1" s="22944"/>
      <c r="AN1" s="22944"/>
      <c r="AO1" s="22944"/>
      <c r="AP1" s="22944"/>
      <c r="AQ1" s="22944"/>
      <c r="AR1" s="22944"/>
      <c r="AS1" s="22944"/>
      <c r="AT1" s="22944"/>
      <c r="AU1" s="22944"/>
      <c r="AV1" s="22944"/>
      <c r="AW1" s="22944"/>
      <c r="AX1" s="22944"/>
      <c r="AY1" s="22944"/>
      <c r="AZ1" s="22944"/>
      <c r="BA1" s="22944"/>
      <c r="BB1" s="22944"/>
      <c r="BC1" s="22944"/>
      <c r="BD1" s="22944"/>
      <c r="BE1" s="22944"/>
      <c r="BF1" s="22944"/>
      <c r="BG1" s="22944"/>
      <c r="BH1" s="22944"/>
      <c r="BI1" s="22944"/>
      <c r="BJ1" s="22944"/>
      <c r="BK1" s="22944"/>
      <c r="BL1" s="22944"/>
      <c r="BM1" s="22944"/>
      <c r="BN1" s="22944"/>
      <c r="BO1" s="22944"/>
      <c r="BP1" s="22944"/>
      <c r="BQ1" s="22944"/>
      <c r="BY1" s="1847" t="s">
        <v>14</v>
      </c>
    </row>
    <row customHeight="1" ht="21" hidden="1">
      <c r="A2" s="2055"/>
      <c r="B2" s="2055"/>
      <c r="C2" s="2055"/>
      <c r="D2" s="2055"/>
      <c r="E2" s="2950">
        <v>1</v>
      </c>
      <c r="F2" s="2055"/>
      <c r="G2" s="2055"/>
      <c r="H2" s="2055"/>
      <c r="I2" s="2055"/>
      <c r="J2" s="2055"/>
      <c r="K2" s="2055"/>
      <c r="L2" s="2056"/>
      <c r="M2" s="2057"/>
      <c r="N2" s="2057"/>
      <c r="O2" s="2057"/>
      <c r="P2" s="1053"/>
      <c r="Q2" s="1052"/>
      <c r="R2" s="1047"/>
      <c r="S2" s="2028">
        <f>INDEX(PT_DIFFERENTIATION_NUM_NTAR,MATCH(A2,PT_DIFFERENTIATION_NTAR_ID,0))</f>
      </c>
      <c r="T2" s="990" t="s">
        <v>131</v>
      </c>
      <c r="U2" s="992"/>
      <c r="V2" s="2934"/>
      <c r="W2" s="2935"/>
      <c r="X2" s="2935"/>
      <c r="Y2" s="2935"/>
      <c r="Z2" s="2935"/>
      <c r="AA2" s="2935"/>
      <c r="AB2" s="2935"/>
      <c r="AC2" s="2936"/>
      <c r="AD2" s="2934">
        <f>INDEX(PT_DIFFERENTIATION_NTAR,MATCH(A2,PT_DIFFERENTIATION_NTAR_ID,0))</f>
      </c>
      <c r="AE2" s="2935"/>
      <c r="AF2" s="2935"/>
      <c r="AG2" s="2935"/>
      <c r="AH2" s="2935"/>
      <c r="AI2" s="2935"/>
      <c r="AJ2" s="2935"/>
      <c r="AK2" s="2935"/>
      <c r="AL2" s="22958"/>
      <c r="AM2" s="22959"/>
      <c r="AN2" s="22959"/>
      <c r="AO2" s="22959"/>
      <c r="AP2" s="22959"/>
      <c r="AQ2" s="22959"/>
      <c r="AR2" s="22959"/>
      <c r="AS2" s="22960"/>
      <c r="AT2" s="22958"/>
      <c r="AU2" s="22959"/>
      <c r="AV2" s="22959"/>
      <c r="AW2" s="22959"/>
      <c r="AX2" s="22959"/>
      <c r="AY2" s="22959"/>
      <c r="AZ2" s="22959"/>
      <c r="BA2" s="22960"/>
      <c r="BB2" s="22958"/>
      <c r="BC2" s="22959"/>
      <c r="BD2" s="22959"/>
      <c r="BE2" s="22959"/>
      <c r="BF2" s="22959"/>
      <c r="BG2" s="22959"/>
      <c r="BH2" s="22959"/>
      <c r="BI2" s="22960"/>
      <c r="BJ2" s="22958"/>
      <c r="BK2" s="22959"/>
      <c r="BL2" s="22959"/>
      <c r="BM2" s="22959"/>
      <c r="BN2" s="22959"/>
      <c r="BO2" s="22959"/>
      <c r="BP2" s="22959"/>
      <c r="BQ2" s="22960"/>
      <c r="BR2" s="2936"/>
      <c r="BS2" s="1950" t="s">
        <v>471</v>
      </c>
      <c r="BU2" s="1192"/>
      <c r="BV2" s="1192" t="str">
        <f>IF(T2="","",T2)</f>
        <v>Наименование тарифа</v>
      </c>
      <c r="BW2" s="1192"/>
      <c r="BX2" s="1192"/>
      <c r="BY2" s="1847">
        <v>0</v>
      </c>
    </row>
    <row customHeight="1" ht="21" hidden="1">
      <c r="A3" s="2055"/>
      <c r="B3" s="2055"/>
      <c r="C3" s="2055"/>
      <c r="D3" s="2055"/>
      <c r="E3" s="2951"/>
      <c r="F3" s="2950">
        <v>1</v>
      </c>
      <c r="G3" s="2055"/>
      <c r="H3" s="2055"/>
      <c r="I3" s="2055"/>
      <c r="J3" s="2055"/>
      <c r="K3" s="2055"/>
      <c r="L3" s="2056"/>
      <c r="M3" s="2057"/>
      <c r="N3" s="2057"/>
      <c r="O3" s="2057"/>
      <c r="P3" s="2024"/>
      <c r="Q3" s="1044"/>
      <c r="R3" s="1045"/>
      <c r="S3" s="2028">
        <f>INDEX(PT_DIFFERENTIATION_NUM_TER,MATCH(B3,PT_DIFFERENTIATION_TER_ID,0))</f>
      </c>
      <c r="T3" s="1000" t="s">
        <v>472</v>
      </c>
      <c r="U3" s="992"/>
      <c r="V3" s="2934"/>
      <c r="W3" s="2935"/>
      <c r="X3" s="2935"/>
      <c r="Y3" s="2935"/>
      <c r="Z3" s="2935"/>
      <c r="AA3" s="2935"/>
      <c r="AB3" s="2935"/>
      <c r="AC3" s="2936"/>
      <c r="AD3" s="2934">
        <f>INDEX(PT_DIFFERENTIATION_TER,MATCH(B3,PT_DIFFERENTIATION_TER_ID,0))</f>
      </c>
      <c r="AE3" s="2935"/>
      <c r="AF3" s="2935"/>
      <c r="AG3" s="2935"/>
      <c r="AH3" s="2935"/>
      <c r="AI3" s="2935"/>
      <c r="AJ3" s="2935"/>
      <c r="AK3" s="2935"/>
      <c r="AL3" s="22958"/>
      <c r="AM3" s="22959"/>
      <c r="AN3" s="22959"/>
      <c r="AO3" s="22959"/>
      <c r="AP3" s="22959"/>
      <c r="AQ3" s="22959"/>
      <c r="AR3" s="22959"/>
      <c r="AS3" s="22960"/>
      <c r="AT3" s="22958"/>
      <c r="AU3" s="22959"/>
      <c r="AV3" s="22959"/>
      <c r="AW3" s="22959"/>
      <c r="AX3" s="22959"/>
      <c r="AY3" s="22959"/>
      <c r="AZ3" s="22959"/>
      <c r="BA3" s="22960"/>
      <c r="BB3" s="22958"/>
      <c r="BC3" s="22959"/>
      <c r="BD3" s="22959"/>
      <c r="BE3" s="22959"/>
      <c r="BF3" s="22959"/>
      <c r="BG3" s="22959"/>
      <c r="BH3" s="22959"/>
      <c r="BI3" s="22960"/>
      <c r="BJ3" s="22958"/>
      <c r="BK3" s="22959"/>
      <c r="BL3" s="22959"/>
      <c r="BM3" s="22959"/>
      <c r="BN3" s="22959"/>
      <c r="BO3" s="22959"/>
      <c r="BP3" s="22959"/>
      <c r="BQ3" s="22960"/>
      <c r="BR3" s="2936"/>
      <c r="BS3" s="1950" t="s">
        <v>473</v>
      </c>
      <c r="BU3" s="1192"/>
      <c r="BV3" s="1192" t="str">
        <f>IF(T3="","",T3)</f>
        <v>Территория действия тарифа</v>
      </c>
      <c r="BW3" s="1192"/>
      <c r="BX3" s="1192"/>
      <c r="BY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028">
        <f>INDEX(PT_DIFFERENTIATION_NUM_CS,MATCH(C4,PT_DIFFERENTIATION_CS_ID,0))</f>
      </c>
      <c r="T4" s="1001" t="s">
        <v>474</v>
      </c>
      <c r="U4" s="992"/>
      <c r="V4" s="2934"/>
      <c r="W4" s="2935"/>
      <c r="X4" s="2935"/>
      <c r="Y4" s="2935"/>
      <c r="Z4" s="2935"/>
      <c r="AA4" s="2935"/>
      <c r="AB4" s="2935"/>
      <c r="AC4" s="2936"/>
      <c r="AD4" s="2934">
        <f>INDEX(PT_DIFFERENTIATION_CS,MATCH(C4,PT_DIFFERENTIATION_CS_ID,0))</f>
      </c>
      <c r="AE4" s="2935"/>
      <c r="AF4" s="2935"/>
      <c r="AG4" s="2935"/>
      <c r="AH4" s="2935"/>
      <c r="AI4" s="2935"/>
      <c r="AJ4" s="2935"/>
      <c r="AK4" s="2935"/>
      <c r="AL4" s="22958"/>
      <c r="AM4" s="22959"/>
      <c r="AN4" s="22959"/>
      <c r="AO4" s="22959"/>
      <c r="AP4" s="22959"/>
      <c r="AQ4" s="22959"/>
      <c r="AR4" s="22959"/>
      <c r="AS4" s="22960"/>
      <c r="AT4" s="22958"/>
      <c r="AU4" s="22959"/>
      <c r="AV4" s="22959"/>
      <c r="AW4" s="22959"/>
      <c r="AX4" s="22959"/>
      <c r="AY4" s="22959"/>
      <c r="AZ4" s="22959"/>
      <c r="BA4" s="22960"/>
      <c r="BB4" s="22958"/>
      <c r="BC4" s="22959"/>
      <c r="BD4" s="22959"/>
      <c r="BE4" s="22959"/>
      <c r="BF4" s="22959"/>
      <c r="BG4" s="22959"/>
      <c r="BH4" s="22959"/>
      <c r="BI4" s="22960"/>
      <c r="BJ4" s="22958"/>
      <c r="BK4" s="22959"/>
      <c r="BL4" s="22959"/>
      <c r="BM4" s="22959"/>
      <c r="BN4" s="22959"/>
      <c r="BO4" s="22959"/>
      <c r="BP4" s="22959"/>
      <c r="BQ4" s="22960"/>
      <c r="BR4" s="2936"/>
      <c r="BS4" s="1950" t="s">
        <v>475</v>
      </c>
      <c r="BU4" s="1192"/>
      <c r="BV4" s="1192" t="str">
        <f>IF(T4="","",T4)</f>
        <v>Наименование системы теплоснабжения </v>
      </c>
      <c r="BW4" s="1192"/>
      <c r="BX4" s="1192"/>
      <c r="BY4" s="1847">
        <v>0</v>
      </c>
    </row>
    <row customHeight="1" ht="21" hidden="1">
      <c r="A5" s="2055"/>
      <c r="B5" s="2055"/>
      <c r="C5" s="2055"/>
      <c r="D5" s="2055"/>
      <c r="E5" s="2951"/>
      <c r="F5" s="2951"/>
      <c r="G5" s="2951"/>
      <c r="H5" s="2950">
        <v>1</v>
      </c>
      <c r="I5" s="2055"/>
      <c r="J5" s="2055"/>
      <c r="K5" s="2055"/>
      <c r="L5" s="2056"/>
      <c r="M5" s="2057"/>
      <c r="N5" s="2057"/>
      <c r="O5" s="2057"/>
      <c r="P5" s="1046"/>
      <c r="Q5" s="1044"/>
      <c r="R5" s="1045"/>
      <c r="S5" s="2028">
        <f>INDEX(PT_DIFFERENTIATION_NUM_IST_TE,MATCH(D5,PT_DIFFERENTIATION_IST_TE_ID,0))</f>
      </c>
      <c r="T5" s="1002" t="s">
        <v>476</v>
      </c>
      <c r="U5" s="992"/>
      <c r="V5" s="2934"/>
      <c r="W5" s="2935"/>
      <c r="X5" s="2935"/>
      <c r="Y5" s="2935"/>
      <c r="Z5" s="2935"/>
      <c r="AA5" s="2935"/>
      <c r="AB5" s="2935"/>
      <c r="AC5" s="2936"/>
      <c r="AD5" s="2934">
        <f>INDEX(PT_DIFFERENTIATION_IST_TE,MATCH(D5,PT_DIFFERENTIATION_IST_TE_ID,0))</f>
      </c>
      <c r="AE5" s="2935"/>
      <c r="AF5" s="2935"/>
      <c r="AG5" s="2935"/>
      <c r="AH5" s="2935"/>
      <c r="AI5" s="2935"/>
      <c r="AJ5" s="2935"/>
      <c r="AK5" s="2935"/>
      <c r="AL5" s="22958"/>
      <c r="AM5" s="22959"/>
      <c r="AN5" s="22959"/>
      <c r="AO5" s="22959"/>
      <c r="AP5" s="22959"/>
      <c r="AQ5" s="22959"/>
      <c r="AR5" s="22959"/>
      <c r="AS5" s="22960"/>
      <c r="AT5" s="22958"/>
      <c r="AU5" s="22959"/>
      <c r="AV5" s="22959"/>
      <c r="AW5" s="22959"/>
      <c r="AX5" s="22959"/>
      <c r="AY5" s="22959"/>
      <c r="AZ5" s="22959"/>
      <c r="BA5" s="22960"/>
      <c r="BB5" s="22958"/>
      <c r="BC5" s="22959"/>
      <c r="BD5" s="22959"/>
      <c r="BE5" s="22959"/>
      <c r="BF5" s="22959"/>
      <c r="BG5" s="22959"/>
      <c r="BH5" s="22959"/>
      <c r="BI5" s="22960"/>
      <c r="BJ5" s="22958"/>
      <c r="BK5" s="22959"/>
      <c r="BL5" s="22959"/>
      <c r="BM5" s="22959"/>
      <c r="BN5" s="22959"/>
      <c r="BO5" s="22959"/>
      <c r="BP5" s="22959"/>
      <c r="BQ5" s="22960"/>
      <c r="BR5" s="2936"/>
      <c r="BS5" s="1950" t="s">
        <v>477</v>
      </c>
      <c r="BU5" s="1192"/>
      <c r="BV5" s="1192" t="str">
        <f>IF(T5="","",T5)</f>
        <v>Источник тепловой энергии  </v>
      </c>
      <c r="BW5" s="1192"/>
      <c r="BX5" s="1192"/>
      <c r="BY5" s="1847">
        <v>0</v>
      </c>
    </row>
    <row customHeight="1" ht="47.25" hidden="1">
      <c r="A6" s="2055"/>
      <c r="B6" s="2055"/>
      <c r="C6" s="2055"/>
      <c r="D6" s="2055"/>
      <c r="E6" s="2951"/>
      <c r="F6" s="2951"/>
      <c r="G6" s="2951"/>
      <c r="H6" s="2951"/>
      <c r="I6" s="2948">
        <f>S5&amp;".1"</f>
      </c>
      <c r="J6" s="2055"/>
      <c r="K6" s="2055"/>
      <c r="L6" s="2056" t="s">
        <v>478</v>
      </c>
      <c r="M6" s="1229"/>
      <c r="P6" s="2949">
        <v>1</v>
      </c>
      <c r="Q6" s="2023"/>
      <c r="R6" s="1048"/>
      <c r="S6" s="2028">
        <f>$I6</f>
      </c>
      <c r="T6" s="977" t="s">
        <v>479</v>
      </c>
      <c r="U6" s="992"/>
      <c r="V6" s="2937"/>
      <c r="W6" s="2938"/>
      <c r="X6" s="2938"/>
      <c r="Y6" s="2938"/>
      <c r="Z6" s="2938"/>
      <c r="AA6" s="2938"/>
      <c r="AB6" s="2938"/>
      <c r="AC6" s="2939"/>
      <c r="AD6" s="2937"/>
      <c r="AE6" s="2938"/>
      <c r="AF6" s="2938"/>
      <c r="AG6" s="2938"/>
      <c r="AH6" s="2938"/>
      <c r="AI6" s="2938"/>
      <c r="AJ6" s="2938"/>
      <c r="AK6" s="2938"/>
      <c r="AL6" s="22979"/>
      <c r="AM6" s="22980"/>
      <c r="AN6" s="22980"/>
      <c r="AO6" s="22980"/>
      <c r="AP6" s="22980"/>
      <c r="AQ6" s="22980"/>
      <c r="AR6" s="22980"/>
      <c r="AS6" s="22981"/>
      <c r="AT6" s="22979"/>
      <c r="AU6" s="22980"/>
      <c r="AV6" s="22980"/>
      <c r="AW6" s="22980"/>
      <c r="AX6" s="22980"/>
      <c r="AY6" s="22980"/>
      <c r="AZ6" s="22980"/>
      <c r="BA6" s="22981"/>
      <c r="BB6" s="22979"/>
      <c r="BC6" s="22980"/>
      <c r="BD6" s="22980"/>
      <c r="BE6" s="22980"/>
      <c r="BF6" s="22980"/>
      <c r="BG6" s="22980"/>
      <c r="BH6" s="22980"/>
      <c r="BI6" s="22981"/>
      <c r="BJ6" s="22979"/>
      <c r="BK6" s="22980"/>
      <c r="BL6" s="22980"/>
      <c r="BM6" s="22980"/>
      <c r="BN6" s="22980"/>
      <c r="BO6" s="22980"/>
      <c r="BP6" s="22980"/>
      <c r="BQ6" s="22981"/>
      <c r="BR6" s="2939"/>
      <c r="BS6" s="1950" t="s">
        <v>480</v>
      </c>
      <c r="BU6" s="1192"/>
      <c r="BV6" s="1192" t="str">
        <f>IF(T6="","",T6)</f>
        <v>Схема подключения теплопотребляющей установки к коллектору источника тепловой энергии</v>
      </c>
      <c r="BW6" s="1192"/>
      <c r="BX6" s="1192"/>
      <c r="BY6" s="1847">
        <v>0</v>
      </c>
    </row>
    <row customHeight="1" ht="21" hidden="1">
      <c r="A7" s="2055"/>
      <c r="B7" s="2055"/>
      <c r="C7" s="2055"/>
      <c r="D7" s="2055"/>
      <c r="E7" s="2951"/>
      <c r="F7" s="2951"/>
      <c r="G7" s="2951"/>
      <c r="H7" s="2951"/>
      <c r="I7" s="2978"/>
      <c r="J7" s="2948">
        <f>I6&amp;".1"</f>
      </c>
      <c r="K7" s="2055"/>
      <c r="L7" s="2056" t="s">
        <v>481</v>
      </c>
      <c r="M7" s="1229"/>
      <c r="N7" s="2058"/>
      <c r="P7" s="2949"/>
      <c r="Q7" s="2949">
        <v>1</v>
      </c>
      <c r="R7" s="1049"/>
      <c r="S7" s="2028">
        <f>$J7</f>
      </c>
      <c r="T7" s="978" t="s">
        <v>482</v>
      </c>
      <c r="U7" s="992"/>
      <c r="V7" s="2937"/>
      <c r="W7" s="2938"/>
      <c r="X7" s="2938"/>
      <c r="Y7" s="2938"/>
      <c r="Z7" s="2938"/>
      <c r="AA7" s="2938"/>
      <c r="AB7" s="2938"/>
      <c r="AC7" s="2939"/>
      <c r="AD7" s="2937"/>
      <c r="AE7" s="2938"/>
      <c r="AF7" s="2938"/>
      <c r="AG7" s="2938"/>
      <c r="AH7" s="2938"/>
      <c r="AI7" s="2938"/>
      <c r="AJ7" s="2938"/>
      <c r="AK7" s="2938"/>
      <c r="AL7" s="22979"/>
      <c r="AM7" s="22980"/>
      <c r="AN7" s="22980"/>
      <c r="AO7" s="22980"/>
      <c r="AP7" s="22980"/>
      <c r="AQ7" s="22980"/>
      <c r="AR7" s="22980"/>
      <c r="AS7" s="22981"/>
      <c r="AT7" s="22979"/>
      <c r="AU7" s="22980"/>
      <c r="AV7" s="22980"/>
      <c r="AW7" s="22980"/>
      <c r="AX7" s="22980"/>
      <c r="AY7" s="22980"/>
      <c r="AZ7" s="22980"/>
      <c r="BA7" s="22981"/>
      <c r="BB7" s="22979"/>
      <c r="BC7" s="22980"/>
      <c r="BD7" s="22980"/>
      <c r="BE7" s="22980"/>
      <c r="BF7" s="22980"/>
      <c r="BG7" s="22980"/>
      <c r="BH7" s="22980"/>
      <c r="BI7" s="22981"/>
      <c r="BJ7" s="22979"/>
      <c r="BK7" s="22980"/>
      <c r="BL7" s="22980"/>
      <c r="BM7" s="22980"/>
      <c r="BN7" s="22980"/>
      <c r="BO7" s="22980"/>
      <c r="BP7" s="22980"/>
      <c r="BQ7" s="22981"/>
      <c r="BR7" s="2939"/>
      <c r="BS7" s="1950" t="s">
        <v>483</v>
      </c>
      <c r="BU7" s="1192"/>
      <c r="BV7" s="1192" t="str">
        <f>IF(T7="","",T7)</f>
        <v>Группа потребителей</v>
      </c>
      <c r="BW7" s="1192"/>
      <c r="BX7" s="1192"/>
      <c r="BY7" s="1847">
        <v>0</v>
      </c>
    </row>
    <row customHeight="1" ht="21" hidden="1">
      <c r="A8" s="2055"/>
      <c r="B8" s="2055"/>
      <c r="C8" s="2055"/>
      <c r="D8" s="2055"/>
      <c r="E8" s="2951"/>
      <c r="F8" s="2951"/>
      <c r="G8" s="2951"/>
      <c r="H8" s="2951"/>
      <c r="I8" s="2978"/>
      <c r="J8" s="2978"/>
      <c r="K8" s="2948">
        <f>J7&amp;".1"</f>
      </c>
      <c r="L8" s="2056" t="s">
        <v>484</v>
      </c>
      <c r="M8" s="1229"/>
      <c r="N8" s="2058"/>
      <c r="O8" s="2058"/>
      <c r="P8" s="2949"/>
      <c r="Q8" s="2949"/>
      <c r="R8" s="1049">
        <v>1</v>
      </c>
      <c r="S8" s="2028">
        <f>$K8</f>
      </c>
      <c r="T8" s="2039"/>
      <c r="U8" s="992"/>
      <c r="V8" s="1443"/>
      <c r="W8" s="1017"/>
      <c r="X8" s="1443"/>
      <c r="Y8" s="1949"/>
      <c r="Z8" s="2957"/>
      <c r="AA8" s="2799" t="s">
        <v>67</v>
      </c>
      <c r="AB8" s="2957"/>
      <c r="AC8" s="2799" t="s">
        <v>67</v>
      </c>
      <c r="AD8" s="1443"/>
      <c r="AE8" s="1017"/>
      <c r="AF8" s="1443"/>
      <c r="AG8" s="1949"/>
      <c r="AH8" s="2957"/>
      <c r="AI8" s="2799" t="s">
        <v>67</v>
      </c>
      <c r="AJ8" s="2957"/>
      <c r="AK8" s="2799" t="s">
        <v>67</v>
      </c>
      <c r="AL8" s="22991"/>
      <c r="AM8" s="22992"/>
      <c r="AN8" s="22991"/>
      <c r="AO8" s="22993"/>
      <c r="AP8" s="22994"/>
      <c r="AQ8" s="22349" t="s">
        <v>67</v>
      </c>
      <c r="AR8" s="22994"/>
      <c r="AS8" s="22349" t="s">
        <v>67</v>
      </c>
      <c r="AT8" s="22991"/>
      <c r="AU8" s="22992"/>
      <c r="AV8" s="22991"/>
      <c r="AW8" s="22993"/>
      <c r="AX8" s="22994"/>
      <c r="AY8" s="22349" t="s">
        <v>67</v>
      </c>
      <c r="AZ8" s="22994"/>
      <c r="BA8" s="22349" t="s">
        <v>67</v>
      </c>
      <c r="BB8" s="22991"/>
      <c r="BC8" s="22992"/>
      <c r="BD8" s="22991"/>
      <c r="BE8" s="22993"/>
      <c r="BF8" s="22994"/>
      <c r="BG8" s="22349" t="s">
        <v>67</v>
      </c>
      <c r="BH8" s="22994"/>
      <c r="BI8" s="22349" t="s">
        <v>67</v>
      </c>
      <c r="BJ8" s="22991"/>
      <c r="BK8" s="22992"/>
      <c r="BL8" s="22991"/>
      <c r="BM8" s="22993"/>
      <c r="BN8" s="22994"/>
      <c r="BO8" s="22349" t="s">
        <v>67</v>
      </c>
      <c r="BP8" s="22994"/>
      <c r="BQ8" s="22349" t="s">
        <v>67</v>
      </c>
      <c r="BR8" s="1017"/>
      <c r="BS8" s="2945" t="s">
        <v>485</v>
      </c>
      <c r="BT8" s="1203">
        <f>STRCHECKDATE(V9:BR9)</f>
      </c>
      <c r="BU8" s="1192"/>
      <c r="BV8" s="1192" t="str">
        <f>IF(T8="","",T8)</f>
        <v/>
      </c>
      <c r="BW8" s="1192"/>
      <c r="BX8" s="1192"/>
      <c r="BY8" s="1847">
        <v>0</v>
      </c>
    </row>
    <row customHeight="1" ht="0.75" hidden="1">
      <c r="A9" s="2055"/>
      <c r="B9" s="2055"/>
      <c r="C9" s="2055"/>
      <c r="D9" s="2055"/>
      <c r="E9" s="2951"/>
      <c r="F9" s="2951"/>
      <c r="G9" s="2951"/>
      <c r="H9" s="2951"/>
      <c r="I9" s="2978"/>
      <c r="J9" s="2978"/>
      <c r="K9" s="2948"/>
      <c r="L9" s="2056"/>
      <c r="M9" s="1229"/>
      <c r="N9" s="2058"/>
      <c r="O9" s="2058"/>
      <c r="P9" s="2949"/>
      <c r="Q9" s="2949"/>
      <c r="R9" s="1049"/>
      <c r="S9" s="2034"/>
      <c r="T9" s="992"/>
      <c r="U9" s="992"/>
      <c r="V9" s="1017"/>
      <c r="W9" s="1017"/>
      <c r="X9" s="1017"/>
      <c r="Y9" s="1020" t="str">
        <f>Z8&amp;"-"&amp;AB8</f>
        <v>-</v>
      </c>
      <c r="Z9" s="2958"/>
      <c r="AA9" s="2799"/>
      <c r="AB9" s="2958"/>
      <c r="AC9" s="2799"/>
      <c r="AD9" s="1017"/>
      <c r="AE9" s="1017"/>
      <c r="AF9" s="1017"/>
      <c r="AG9" s="1020" t="str">
        <f>AH8&amp;"-"&amp;AJ8</f>
        <v>-</v>
      </c>
      <c r="AH9" s="2958"/>
      <c r="AI9" s="2799"/>
      <c r="AJ9" s="2958"/>
      <c r="AK9" s="2799"/>
      <c r="AL9" s="22992"/>
      <c r="AM9" s="22992"/>
      <c r="AN9" s="22992"/>
      <c r="AO9" s="22999" t="str">
        <f>AP8&amp;"-"&amp;AR8</f>
        <v>-</v>
      </c>
      <c r="AP9" s="23000"/>
      <c r="AQ9" s="22349"/>
      <c r="AR9" s="23000"/>
      <c r="AS9" s="22349"/>
      <c r="AT9" s="22992"/>
      <c r="AU9" s="22992"/>
      <c r="AV9" s="22992"/>
      <c r="AW9" s="22999" t="str">
        <f>AX8&amp;"-"&amp;AZ8</f>
        <v>-</v>
      </c>
      <c r="AX9" s="23000"/>
      <c r="AY9" s="22349"/>
      <c r="AZ9" s="23000"/>
      <c r="BA9" s="22349"/>
      <c r="BB9" s="22992"/>
      <c r="BC9" s="22992"/>
      <c r="BD9" s="22992"/>
      <c r="BE9" s="22999" t="str">
        <f>BF8&amp;"-"&amp;BH8</f>
        <v>-</v>
      </c>
      <c r="BF9" s="23000"/>
      <c r="BG9" s="22349"/>
      <c r="BH9" s="23000"/>
      <c r="BI9" s="22349"/>
      <c r="BJ9" s="22992"/>
      <c r="BK9" s="22992"/>
      <c r="BL9" s="22992"/>
      <c r="BM9" s="22999" t="str">
        <f>BN8&amp;"-"&amp;BP8</f>
        <v>-</v>
      </c>
      <c r="BN9" s="23000"/>
      <c r="BO9" s="22349"/>
      <c r="BP9" s="23000"/>
      <c r="BQ9" s="22349"/>
      <c r="BR9" s="1017"/>
      <c r="BS9" s="2946"/>
      <c r="BU9" s="1192"/>
      <c r="BV9" s="1192" t="str">
        <f>IF(T9="","",T9)</f>
        <v/>
      </c>
      <c r="BW9" s="1192"/>
      <c r="BX9" s="1192"/>
      <c r="BY9" s="1847">
        <v>0</v>
      </c>
    </row>
    <row customHeight="1" ht="15" hidden="1">
      <c r="A10" s="2055"/>
      <c r="B10" s="2055"/>
      <c r="C10" s="2055"/>
      <c r="D10" s="2055"/>
      <c r="E10" s="2951"/>
      <c r="F10" s="2951"/>
      <c r="G10" s="2951"/>
      <c r="H10" s="2951"/>
      <c r="I10" s="2978"/>
      <c r="J10" s="2948"/>
      <c r="K10" s="2055"/>
      <c r="L10" s="2056"/>
      <c r="M10" s="1229"/>
      <c r="N10" s="2058"/>
      <c r="P10" s="2949"/>
      <c r="Q10" s="2949"/>
      <c r="R10" s="1048"/>
      <c r="S10" s="1970"/>
      <c r="T10" s="980" t="s">
        <v>486</v>
      </c>
      <c r="U10" s="1059"/>
      <c r="V10" s="1059"/>
      <c r="W10" s="1059"/>
      <c r="X10" s="1059"/>
      <c r="Y10" s="1059"/>
      <c r="Z10" s="1059"/>
      <c r="AA10" s="1059"/>
      <c r="AB10" s="1059"/>
      <c r="AC10" s="1059"/>
      <c r="AD10" s="1059"/>
      <c r="AE10" s="1059"/>
      <c r="AF10" s="1059"/>
      <c r="AG10" s="1059"/>
      <c r="AH10" s="1059"/>
      <c r="AI10" s="1059"/>
      <c r="AJ10" s="1059"/>
      <c r="AK10" s="1059"/>
      <c r="AL10" s="23732"/>
      <c r="AM10" s="23733"/>
      <c r="AN10" s="23734"/>
      <c r="AO10" s="23735"/>
      <c r="AP10" s="23736"/>
      <c r="AQ10" s="23737"/>
      <c r="AR10" s="23738"/>
      <c r="AS10" s="23739"/>
      <c r="AT10" s="23740"/>
      <c r="AU10" s="23741"/>
      <c r="AV10" s="23742"/>
      <c r="AW10" s="23743"/>
      <c r="AX10" s="23744"/>
      <c r="AY10" s="23745"/>
      <c r="AZ10" s="23746"/>
      <c r="BA10" s="23747"/>
      <c r="BB10" s="23748"/>
      <c r="BC10" s="23749"/>
      <c r="BD10" s="23750"/>
      <c r="BE10" s="23751"/>
      <c r="BF10" s="23752"/>
      <c r="BG10" s="23753"/>
      <c r="BH10" s="23754"/>
      <c r="BI10" s="23755"/>
      <c r="BJ10" s="23756"/>
      <c r="BK10" s="23757"/>
      <c r="BL10" s="23758"/>
      <c r="BM10" s="23759"/>
      <c r="BN10" s="23760"/>
      <c r="BO10" s="23761"/>
      <c r="BP10" s="23762"/>
      <c r="BQ10" s="23763"/>
      <c r="BR10" s="1016"/>
      <c r="BS10" s="2947"/>
      <c r="BU10" s="1192"/>
      <c r="BV10" s="1192" t="str">
        <f>IF(T10="","",T10)</f>
        <v>Добавить вид теплоносителя (параметры теплоносителя)</v>
      </c>
      <c r="BW10" s="1192"/>
      <c r="BX10" s="1192"/>
      <c r="BY10" s="1847">
        <v>0</v>
      </c>
    </row>
    <row customHeight="1" ht="15" hidden="1">
      <c r="A11" s="2055"/>
      <c r="B11" s="2055"/>
      <c r="C11" s="2055"/>
      <c r="D11" s="2055"/>
      <c r="E11" s="2951"/>
      <c r="F11" s="2951"/>
      <c r="G11" s="2951"/>
      <c r="H11" s="2951"/>
      <c r="I11" s="2948"/>
      <c r="J11" s="2055"/>
      <c r="K11" s="2055"/>
      <c r="L11" s="2056"/>
      <c r="M11" s="1229"/>
      <c r="P11" s="2949"/>
      <c r="Q11" s="2023"/>
      <c r="R11" s="1048"/>
      <c r="S11" s="1970"/>
      <c r="T11" s="979" t="s">
        <v>487</v>
      </c>
      <c r="U11" s="1059"/>
      <c r="V11" s="1059"/>
      <c r="W11" s="1059"/>
      <c r="X11" s="1059"/>
      <c r="Y11" s="1059"/>
      <c r="Z11" s="1059"/>
      <c r="AA11" s="1059"/>
      <c r="AB11" s="1059"/>
      <c r="AC11" s="1058"/>
      <c r="AD11" s="1059"/>
      <c r="AE11" s="1059"/>
      <c r="AF11" s="1059"/>
      <c r="AG11" s="1059"/>
      <c r="AH11" s="1059"/>
      <c r="AI11" s="1059"/>
      <c r="AJ11" s="1059"/>
      <c r="AK11" s="1058"/>
      <c r="AL11" s="23764"/>
      <c r="AM11" s="23765"/>
      <c r="AN11" s="23766"/>
      <c r="AO11" s="23767"/>
      <c r="AP11" s="23768"/>
      <c r="AQ11" s="23769"/>
      <c r="AR11" s="23770"/>
      <c r="AS11" s="23771"/>
      <c r="AT11" s="23772"/>
      <c r="AU11" s="23773"/>
      <c r="AV11" s="23774"/>
      <c r="AW11" s="23775"/>
      <c r="AX11" s="23776"/>
      <c r="AY11" s="23777"/>
      <c r="AZ11" s="23778"/>
      <c r="BA11" s="23779"/>
      <c r="BB11" s="23780"/>
      <c r="BC11" s="23781"/>
      <c r="BD11" s="23782"/>
      <c r="BE11" s="23783"/>
      <c r="BF11" s="23784"/>
      <c r="BG11" s="23785"/>
      <c r="BH11" s="23786"/>
      <c r="BI11" s="23787"/>
      <c r="BJ11" s="23788"/>
      <c r="BK11" s="23789"/>
      <c r="BL11" s="23790"/>
      <c r="BM11" s="23791"/>
      <c r="BN11" s="23792"/>
      <c r="BO11" s="23793"/>
      <c r="BP11" s="23794"/>
      <c r="BQ11" s="23795"/>
      <c r="BR11" s="1059"/>
      <c r="BS11" s="995"/>
      <c r="BU11" s="1192"/>
      <c r="BV11" s="1192" t="str">
        <f>IF(T11="","",T11)</f>
        <v>Добавить группу потребителей</v>
      </c>
      <c r="BW11" s="1192"/>
      <c r="BX11" s="1192"/>
      <c r="BY11" s="1847">
        <v>0</v>
      </c>
    </row>
    <row customHeight="1" ht="14.25" hidden="1">
      <c r="A12" s="2055"/>
      <c r="B12" s="2055"/>
      <c r="C12" s="2055"/>
      <c r="D12" s="2055"/>
      <c r="E12" s="2951"/>
      <c r="F12" s="2951"/>
      <c r="G12" s="2951"/>
      <c r="H12" s="2950"/>
      <c r="I12" s="2055"/>
      <c r="J12" s="2055"/>
      <c r="K12" s="2055"/>
      <c r="L12" s="2056"/>
      <c r="M12" s="2057"/>
      <c r="N12" s="2057"/>
      <c r="O12" s="1229"/>
      <c r="P12" s="1052"/>
      <c r="Q12" s="1067"/>
      <c r="R12" s="1047"/>
      <c r="S12" s="1970"/>
      <c r="T12" s="1057" t="s">
        <v>488</v>
      </c>
      <c r="U12" s="1059"/>
      <c r="V12" s="1059"/>
      <c r="W12" s="1059"/>
      <c r="X12" s="1059"/>
      <c r="Y12" s="1059"/>
      <c r="Z12" s="1059"/>
      <c r="AA12" s="1059"/>
      <c r="AB12" s="1059"/>
      <c r="AC12" s="1058"/>
      <c r="AD12" s="1059"/>
      <c r="AE12" s="1059"/>
      <c r="AF12" s="1059"/>
      <c r="AG12" s="1059"/>
      <c r="AH12" s="1059"/>
      <c r="AI12" s="1059"/>
      <c r="AJ12" s="1059"/>
      <c r="AK12" s="1058"/>
      <c r="AL12" s="23796"/>
      <c r="AM12" s="23797"/>
      <c r="AN12" s="23798"/>
      <c r="AO12" s="23799"/>
      <c r="AP12" s="23800"/>
      <c r="AQ12" s="23801"/>
      <c r="AR12" s="23802"/>
      <c r="AS12" s="23803"/>
      <c r="AT12" s="23804"/>
      <c r="AU12" s="23805"/>
      <c r="AV12" s="23806"/>
      <c r="AW12" s="23807"/>
      <c r="AX12" s="23808"/>
      <c r="AY12" s="23809"/>
      <c r="AZ12" s="23810"/>
      <c r="BA12" s="23811"/>
      <c r="BB12" s="23812"/>
      <c r="BC12" s="23813"/>
      <c r="BD12" s="23814"/>
      <c r="BE12" s="23815"/>
      <c r="BF12" s="23816"/>
      <c r="BG12" s="23817"/>
      <c r="BH12" s="23818"/>
      <c r="BI12" s="23819"/>
      <c r="BJ12" s="23820"/>
      <c r="BK12" s="23821"/>
      <c r="BL12" s="23822"/>
      <c r="BM12" s="23823"/>
      <c r="BN12" s="23824"/>
      <c r="BO12" s="23825"/>
      <c r="BP12" s="23826"/>
      <c r="BQ12" s="23827"/>
      <c r="BR12" s="1059"/>
      <c r="BS12" s="995"/>
      <c r="BU12" s="1192"/>
      <c r="BV12" s="1192" t="str">
        <f>IF(T12="","",T12)</f>
        <v>Добавить схему подключения</v>
      </c>
      <c r="BW12" s="1192"/>
      <c r="BX12" s="1192"/>
      <c r="BY12" s="1847">
        <v>0</v>
      </c>
    </row>
    <row s="61695" customFormat="1" customHeight="1" ht="0.75" hidden="1">
      <c r="A13" s="2006"/>
      <c r="B13" s="2006"/>
      <c r="C13" s="2006"/>
      <c r="D13" s="2006"/>
      <c r="E13" s="2951"/>
      <c r="F13" s="2951"/>
      <c r="G13" s="2950"/>
      <c r="H13" s="2006"/>
      <c r="I13" s="2006"/>
      <c r="J13" s="2006"/>
      <c r="K13" s="2006"/>
      <c r="L13" s="2031"/>
      <c r="M13" s="2007"/>
      <c r="N13" s="2007"/>
      <c r="P13" s="2008"/>
      <c r="Q13" s="2009"/>
      <c r="R13" s="2008"/>
      <c r="S13" s="2010"/>
      <c r="T13" s="2011" t="s">
        <v>171</v>
      </c>
      <c r="U13" s="2012"/>
      <c r="V13" s="2012"/>
      <c r="W13" s="2012"/>
      <c r="X13" s="2012"/>
      <c r="Y13" s="2012"/>
      <c r="Z13" s="2012"/>
      <c r="AA13" s="2012"/>
      <c r="AB13" s="2012"/>
      <c r="AC13" s="2012"/>
      <c r="AD13" s="2012"/>
      <c r="AE13" s="2012"/>
      <c r="AF13" s="2012"/>
      <c r="AG13" s="2012"/>
      <c r="AH13" s="2012"/>
      <c r="AI13" s="2012"/>
      <c r="AJ13" s="2012"/>
      <c r="AK13" s="2012"/>
      <c r="AL13" s="23115"/>
      <c r="AM13" s="23115"/>
      <c r="AN13" s="23115"/>
      <c r="AO13" s="23115"/>
      <c r="AP13" s="23115"/>
      <c r="AQ13" s="23115"/>
      <c r="AR13" s="23115"/>
      <c r="AS13" s="23115"/>
      <c r="AT13" s="23115"/>
      <c r="AU13" s="23115"/>
      <c r="AV13" s="23115"/>
      <c r="AW13" s="23115"/>
      <c r="AX13" s="23115"/>
      <c r="AY13" s="23115"/>
      <c r="AZ13" s="23115"/>
      <c r="BA13" s="23115"/>
      <c r="BB13" s="23115"/>
      <c r="BC13" s="23115"/>
      <c r="BD13" s="23115"/>
      <c r="BE13" s="23115"/>
      <c r="BF13" s="23115"/>
      <c r="BG13" s="23115"/>
      <c r="BH13" s="23115"/>
      <c r="BI13" s="23115"/>
      <c r="BJ13" s="23115"/>
      <c r="BK13" s="23115"/>
      <c r="BL13" s="23115"/>
      <c r="BM13" s="23115"/>
      <c r="BN13" s="23115"/>
      <c r="BO13" s="23115"/>
      <c r="BP13" s="23115"/>
      <c r="BQ13" s="23115"/>
      <c r="BR13" s="2012"/>
      <c r="BS13" s="2012"/>
      <c r="BU13" s="1481"/>
      <c r="BV13" s="1481" t="str">
        <f>IF(T13="","",T13)</f>
        <v>Добавить источник для дифференциации</v>
      </c>
      <c r="BW13" s="1481"/>
      <c r="BX13" s="1481"/>
      <c r="BY13" s="1210">
        <v>0</v>
      </c>
    </row>
    <row s="61695" customFormat="1" customHeight="1" ht="0.75" hidden="1">
      <c r="A14" s="2006"/>
      <c r="B14" s="2006"/>
      <c r="C14" s="2006"/>
      <c r="D14" s="2006"/>
      <c r="E14" s="2951"/>
      <c r="F14" s="2950"/>
      <c r="G14" s="2006"/>
      <c r="H14" s="2006"/>
      <c r="I14" s="2006"/>
      <c r="J14" s="2006"/>
      <c r="K14" s="2006"/>
      <c r="L14" s="2031"/>
      <c r="M14" s="2013"/>
      <c r="N14" s="2013"/>
      <c r="P14" s="2008"/>
      <c r="Q14" s="2009"/>
      <c r="R14" s="2008"/>
      <c r="S14" s="2014"/>
      <c r="T14" s="2015" t="s">
        <v>172</v>
      </c>
      <c r="U14" s="2016"/>
      <c r="V14" s="2016"/>
      <c r="W14" s="2016"/>
      <c r="X14" s="2016"/>
      <c r="Y14" s="2016"/>
      <c r="Z14" s="2016"/>
      <c r="AA14" s="2016"/>
      <c r="AB14" s="2016"/>
      <c r="AC14" s="2016"/>
      <c r="AD14" s="2016"/>
      <c r="AE14" s="2016"/>
      <c r="AF14" s="2016"/>
      <c r="AG14" s="2016"/>
      <c r="AH14" s="2016"/>
      <c r="AI14" s="2016"/>
      <c r="AJ14" s="2016"/>
      <c r="AK14" s="2016"/>
      <c r="AL14" s="23121"/>
      <c r="AM14" s="23121"/>
      <c r="AN14" s="23121"/>
      <c r="AO14" s="23121"/>
      <c r="AP14" s="23121"/>
      <c r="AQ14" s="23121"/>
      <c r="AR14" s="23121"/>
      <c r="AS14" s="23121"/>
      <c r="AT14" s="23121"/>
      <c r="AU14" s="23121"/>
      <c r="AV14" s="23121"/>
      <c r="AW14" s="23121"/>
      <c r="AX14" s="23121"/>
      <c r="AY14" s="23121"/>
      <c r="AZ14" s="23121"/>
      <c r="BA14" s="23121"/>
      <c r="BB14" s="23121"/>
      <c r="BC14" s="23121"/>
      <c r="BD14" s="23121"/>
      <c r="BE14" s="23121"/>
      <c r="BF14" s="23121"/>
      <c r="BG14" s="23121"/>
      <c r="BH14" s="23121"/>
      <c r="BI14" s="23121"/>
      <c r="BJ14" s="23121"/>
      <c r="BK14" s="23121"/>
      <c r="BL14" s="23121"/>
      <c r="BM14" s="23121"/>
      <c r="BN14" s="23121"/>
      <c r="BO14" s="23121"/>
      <c r="BP14" s="23121"/>
      <c r="BQ14" s="23121"/>
      <c r="BR14" s="2016"/>
      <c r="BS14" s="2016"/>
      <c r="BU14" s="1481"/>
      <c r="BV14" s="1481" t="str">
        <f>IF(T14="","",T14)</f>
        <v>Добавить централизованную систему для дифференциации</v>
      </c>
      <c r="BW14" s="1481"/>
      <c r="BX14" s="1481"/>
      <c r="BY14" s="1210">
        <v>0</v>
      </c>
    </row>
    <row s="61695" customFormat="1" customHeight="1" ht="0.75" hidden="1">
      <c r="A15" s="2006"/>
      <c r="B15" s="2006"/>
      <c r="C15" s="2006"/>
      <c r="D15" s="2006"/>
      <c r="E15" s="2950"/>
      <c r="F15" s="2006"/>
      <c r="G15" s="2006"/>
      <c r="H15" s="2006"/>
      <c r="I15" s="2006"/>
      <c r="J15" s="2006"/>
      <c r="K15" s="2006"/>
      <c r="L15" s="2031"/>
      <c r="M15" s="2013"/>
      <c r="N15" s="2013"/>
      <c r="P15" s="2008"/>
      <c r="Q15" s="2009"/>
      <c r="R15" s="2008"/>
      <c r="S15" s="2014"/>
      <c r="T15" s="2017" t="s">
        <v>173</v>
      </c>
      <c r="U15" s="2016"/>
      <c r="V15" s="2016"/>
      <c r="W15" s="2016"/>
      <c r="X15" s="2016"/>
      <c r="Y15" s="2016"/>
      <c r="Z15" s="2016"/>
      <c r="AA15" s="2016"/>
      <c r="AB15" s="2016"/>
      <c r="AC15" s="2016"/>
      <c r="AD15" s="2016"/>
      <c r="AE15" s="2016"/>
      <c r="AF15" s="2016"/>
      <c r="AG15" s="2016"/>
      <c r="AH15" s="2016"/>
      <c r="AI15" s="2016"/>
      <c r="AJ15" s="2016"/>
      <c r="AK15" s="2016"/>
      <c r="AL15" s="23121"/>
      <c r="AM15" s="23121"/>
      <c r="AN15" s="23121"/>
      <c r="AO15" s="23121"/>
      <c r="AP15" s="23121"/>
      <c r="AQ15" s="23121"/>
      <c r="AR15" s="23121"/>
      <c r="AS15" s="23121"/>
      <c r="AT15" s="23121"/>
      <c r="AU15" s="23121"/>
      <c r="AV15" s="23121"/>
      <c r="AW15" s="23121"/>
      <c r="AX15" s="23121"/>
      <c r="AY15" s="23121"/>
      <c r="AZ15" s="23121"/>
      <c r="BA15" s="23121"/>
      <c r="BB15" s="23121"/>
      <c r="BC15" s="23121"/>
      <c r="BD15" s="23121"/>
      <c r="BE15" s="23121"/>
      <c r="BF15" s="23121"/>
      <c r="BG15" s="23121"/>
      <c r="BH15" s="23121"/>
      <c r="BI15" s="23121"/>
      <c r="BJ15" s="23121"/>
      <c r="BK15" s="23121"/>
      <c r="BL15" s="23121"/>
      <c r="BM15" s="23121"/>
      <c r="BN15" s="23121"/>
      <c r="BO15" s="23121"/>
      <c r="BP15" s="23121"/>
      <c r="BQ15" s="23121"/>
      <c r="BR15" s="2016"/>
      <c r="BS15" s="2016"/>
      <c r="BU15" s="1481"/>
      <c r="BV15" s="1481" t="str">
        <f>IF(T15="","",T15)</f>
        <v>Добавить территорию для дифференциации</v>
      </c>
      <c r="BW15" s="1481"/>
      <c r="BX15" s="1481"/>
      <c r="BY15" s="1210">
        <v>0</v>
      </c>
    </row>
    <row customHeight="1" ht="14.25" hidden="1">
      <c r="AC16" s="1019"/>
      <c r="AK16" s="1019"/>
      <c r="AL16" s="22944"/>
      <c r="AM16" s="22944"/>
      <c r="AN16" s="22944"/>
      <c r="AO16" s="22944"/>
      <c r="AP16" s="22944"/>
      <c r="AQ16" s="22944"/>
      <c r="AR16" s="22944"/>
      <c r="AS16" s="22944"/>
      <c r="AT16" s="22944"/>
      <c r="AU16" s="22944"/>
      <c r="AV16" s="22944"/>
      <c r="AW16" s="22944"/>
      <c r="AX16" s="22944"/>
      <c r="AY16" s="22944"/>
      <c r="AZ16" s="22944"/>
      <c r="BA16" s="22944"/>
      <c r="BB16" s="22944"/>
      <c r="BC16" s="22944"/>
      <c r="BD16" s="22944"/>
      <c r="BE16" s="22944"/>
      <c r="BF16" s="22944"/>
      <c r="BG16" s="22944"/>
      <c r="BH16" s="22944"/>
      <c r="BI16" s="22944"/>
      <c r="BJ16" s="22944"/>
      <c r="BK16" s="22944"/>
      <c r="BL16" s="22944"/>
      <c r="BM16" s="22944"/>
      <c r="BN16" s="22944"/>
      <c r="BO16" s="22944"/>
      <c r="BP16" s="22944"/>
      <c r="BQ16" s="22944"/>
      <c r="BY16" s="1847">
        <v>0</v>
      </c>
    </row>
    <row customHeight="1" ht="14.25" hidden="1">
      <c r="AD17" s="2052"/>
      <c r="AE17" s="2052"/>
      <c r="AF17" s="2052"/>
      <c r="AG17" s="2053"/>
      <c r="AH17" s="2959"/>
      <c r="AI17" s="2960" t="s">
        <v>67</v>
      </c>
      <c r="AJ17" s="2959"/>
      <c r="AK17" s="2960" t="s">
        <v>67</v>
      </c>
      <c r="AL17" s="22944"/>
      <c r="AM17" s="22944"/>
      <c r="AN17" s="22944"/>
      <c r="AO17" s="22944"/>
      <c r="AP17" s="22944"/>
      <c r="AQ17" s="22944"/>
      <c r="AR17" s="22944"/>
      <c r="AS17" s="22944"/>
      <c r="AT17" s="22944"/>
      <c r="AU17" s="22944"/>
      <c r="AV17" s="22944"/>
      <c r="AW17" s="22944"/>
      <c r="AX17" s="22944"/>
      <c r="AY17" s="22944"/>
      <c r="AZ17" s="22944"/>
      <c r="BA17" s="22944"/>
      <c r="BB17" s="22944"/>
      <c r="BC17" s="22944"/>
      <c r="BD17" s="22944"/>
      <c r="BE17" s="22944"/>
      <c r="BF17" s="22944"/>
      <c r="BG17" s="22944"/>
      <c r="BH17" s="22944"/>
      <c r="BI17" s="22944"/>
      <c r="BJ17" s="22944"/>
      <c r="BK17" s="22944"/>
      <c r="BL17" s="22944"/>
      <c r="BM17" s="22944"/>
      <c r="BN17" s="22944"/>
      <c r="BO17" s="22944"/>
      <c r="BP17" s="22944"/>
      <c r="BQ17" s="22944"/>
      <c r="BY17" s="1847">
        <v>0</v>
      </c>
    </row>
    <row customHeight="1" ht="14.25" hidden="1">
      <c r="AD18" s="2052"/>
      <c r="AE18" s="2052"/>
      <c r="AF18" s="2052"/>
      <c r="AG18" s="1020" t="str">
        <f>AH17&amp;"-"&amp;AJ17</f>
        <v>-</v>
      </c>
      <c r="AH18" s="2960"/>
      <c r="AI18" s="2960"/>
      <c r="AJ18" s="2960"/>
      <c r="AK18" s="2960"/>
      <c r="AL18" s="22944"/>
      <c r="AM18" s="22944"/>
      <c r="AN18" s="22944"/>
      <c r="AO18" s="22944"/>
      <c r="AP18" s="22944"/>
      <c r="AQ18" s="22944"/>
      <c r="AR18" s="22944"/>
      <c r="AS18" s="22944"/>
      <c r="AT18" s="22944"/>
      <c r="AU18" s="22944"/>
      <c r="AV18" s="22944"/>
      <c r="AW18" s="22944"/>
      <c r="AX18" s="22944"/>
      <c r="AY18" s="22944"/>
      <c r="AZ18" s="22944"/>
      <c r="BA18" s="22944"/>
      <c r="BB18" s="22944"/>
      <c r="BC18" s="22944"/>
      <c r="BD18" s="22944"/>
      <c r="BE18" s="22944"/>
      <c r="BF18" s="22944"/>
      <c r="BG18" s="22944"/>
      <c r="BH18" s="22944"/>
      <c r="BI18" s="22944"/>
      <c r="BJ18" s="22944"/>
      <c r="BK18" s="22944"/>
      <c r="BL18" s="22944"/>
      <c r="BM18" s="22944"/>
      <c r="BN18" s="22944"/>
      <c r="BO18" s="22944"/>
      <c r="BP18" s="22944"/>
      <c r="BQ18" s="22944"/>
      <c r="BY18" s="1847">
        <v>0</v>
      </c>
    </row>
    <row customHeight="1" ht="14.25" hidden="1">
      <c r="AK19" s="1019"/>
      <c r="AL19" s="22944"/>
      <c r="AM19" s="22944"/>
      <c r="AN19" s="22944"/>
      <c r="AO19" s="22944"/>
      <c r="AP19" s="22944"/>
      <c r="AQ19" s="22944"/>
      <c r="AR19" s="22944"/>
      <c r="AS19" s="22944"/>
      <c r="AT19" s="22944"/>
      <c r="AU19" s="22944"/>
      <c r="AV19" s="22944"/>
      <c r="AW19" s="22944"/>
      <c r="AX19" s="22944"/>
      <c r="AY19" s="22944"/>
      <c r="AZ19" s="22944"/>
      <c r="BA19" s="22944"/>
      <c r="BB19" s="22944"/>
      <c r="BC19" s="22944"/>
      <c r="BD19" s="22944"/>
      <c r="BE19" s="22944"/>
      <c r="BF19" s="22944"/>
      <c r="BG19" s="22944"/>
      <c r="BH19" s="22944"/>
      <c r="BI19" s="22944"/>
      <c r="BJ19" s="22944"/>
      <c r="BK19" s="22944"/>
      <c r="BL19" s="22944"/>
      <c r="BM19" s="22944"/>
      <c r="BN19" s="22944"/>
      <c r="BO19" s="22944"/>
      <c r="BP19" s="22944"/>
      <c r="BQ19" s="22944"/>
      <c r="BY19" s="1847">
        <v>0</v>
      </c>
    </row>
    <row s="62148" customFormat="1" customHeight="1" ht="22.5" hidden="1">
      <c r="L20" s="2021"/>
      <c r="M20" s="2054"/>
      <c r="N20" s="2054"/>
      <c r="O20" s="2059" t="s">
        <v>489</v>
      </c>
      <c r="P20" s="2054"/>
      <c r="Q20" s="2063"/>
      <c r="R20" s="2063"/>
      <c r="S20" s="1421"/>
      <c r="Z20" s="2059"/>
      <c r="AB20" s="2059"/>
      <c r="AC20" s="2058"/>
      <c r="AH20" s="2059"/>
      <c r="AJ20" s="2059"/>
      <c r="AK20" s="2058"/>
      <c r="AL20" s="23133"/>
      <c r="AM20" s="23133"/>
      <c r="AN20" s="23133"/>
      <c r="AO20" s="23133"/>
      <c r="AP20" s="23134"/>
      <c r="AQ20" s="23133"/>
      <c r="AR20" s="23134"/>
      <c r="AS20" s="23133"/>
      <c r="AT20" s="23133"/>
      <c r="AU20" s="23133"/>
      <c r="AV20" s="23133"/>
      <c r="AW20" s="23133"/>
      <c r="AX20" s="23134"/>
      <c r="AY20" s="23133"/>
      <c r="AZ20" s="23134"/>
      <c r="BA20" s="23133"/>
      <c r="BB20" s="23133"/>
      <c r="BC20" s="23133"/>
      <c r="BD20" s="23133"/>
      <c r="BE20" s="23133"/>
      <c r="BF20" s="23134"/>
      <c r="BG20" s="23133"/>
      <c r="BH20" s="23134"/>
      <c r="BI20" s="23133"/>
      <c r="BJ20" s="23133"/>
      <c r="BK20" s="23133"/>
      <c r="BL20" s="23133"/>
      <c r="BM20" s="23133"/>
      <c r="BN20" s="23134"/>
      <c r="BO20" s="23133"/>
      <c r="BP20" s="23134"/>
      <c r="BQ20" s="23133"/>
      <c r="BT20" s="1203"/>
      <c r="BU20" s="1203"/>
      <c r="BV20" s="1203"/>
      <c r="BW20" s="1203"/>
      <c r="BX20" s="1203"/>
      <c r="BY20" s="1852">
        <v>0</v>
      </c>
    </row>
    <row s="62148" customFormat="1" customHeight="1" ht="14.25" hidden="1">
      <c r="L21" s="2021"/>
      <c r="M21" s="2054"/>
      <c r="N21" s="2054"/>
      <c r="O21" s="2054"/>
      <c r="P21" s="2054"/>
      <c r="Q21" s="2063"/>
      <c r="R21" s="2063"/>
      <c r="S21" s="1421"/>
      <c r="AC21" s="2058"/>
      <c r="AK21" s="2058"/>
      <c r="AL21" s="23133"/>
      <c r="AM21" s="23133"/>
      <c r="AN21" s="23133"/>
      <c r="AO21" s="23133"/>
      <c r="AP21" s="23133"/>
      <c r="AQ21" s="23133"/>
      <c r="AR21" s="23133"/>
      <c r="AS21" s="23133"/>
      <c r="AT21" s="23133"/>
      <c r="AU21" s="23133"/>
      <c r="AV21" s="23133"/>
      <c r="AW21" s="23133"/>
      <c r="AX21" s="23133"/>
      <c r="AY21" s="23133"/>
      <c r="AZ21" s="23133"/>
      <c r="BA21" s="23133"/>
      <c r="BB21" s="23133"/>
      <c r="BC21" s="23133"/>
      <c r="BD21" s="23133"/>
      <c r="BE21" s="23133"/>
      <c r="BF21" s="23133"/>
      <c r="BG21" s="23133"/>
      <c r="BH21" s="23133"/>
      <c r="BI21" s="23133"/>
      <c r="BJ21" s="23133"/>
      <c r="BK21" s="23133"/>
      <c r="BL21" s="23133"/>
      <c r="BM21" s="23133"/>
      <c r="BN21" s="23133"/>
      <c r="BO21" s="23133"/>
      <c r="BP21" s="23133"/>
      <c r="BQ21" s="23133"/>
      <c r="BT21" s="1203"/>
      <c r="BU21" s="1203"/>
      <c r="BV21" s="1203"/>
      <c r="BW21" s="1203"/>
      <c r="BX21" s="1203"/>
      <c r="BY21" s="1852">
        <v>0</v>
      </c>
    </row>
    <row s="62148" customFormat="1" customHeight="1" ht="14.25" hidden="1">
      <c r="L22" s="2021"/>
      <c r="M22" s="2054"/>
      <c r="N22" s="2054"/>
      <c r="O22" s="2056" t="s">
        <v>490</v>
      </c>
      <c r="P22" s="2054"/>
      <c r="Q22" s="2063"/>
      <c r="R22" s="2063"/>
      <c r="S22" s="1421"/>
      <c r="T22" s="1852" t="s">
        <v>491</v>
      </c>
      <c r="AA22" s="878" t="s">
        <v>492</v>
      </c>
      <c r="AC22" s="878" t="s">
        <v>493</v>
      </c>
      <c r="AD22" s="1852" t="s">
        <v>491</v>
      </c>
      <c r="AI22" s="878" t="s">
        <v>494</v>
      </c>
      <c r="AK22" s="878" t="s">
        <v>493</v>
      </c>
      <c r="AL22" s="23133"/>
      <c r="AM22" s="23133"/>
      <c r="AN22" s="23133"/>
      <c r="AO22" s="23133"/>
      <c r="AP22" s="23133"/>
      <c r="AQ22" s="23135" t="s">
        <v>492</v>
      </c>
      <c r="AR22" s="23133"/>
      <c r="AS22" s="23135" t="s">
        <v>493</v>
      </c>
      <c r="AT22" s="23133"/>
      <c r="AU22" s="23133"/>
      <c r="AV22" s="23133"/>
      <c r="AW22" s="23133"/>
      <c r="AX22" s="23133"/>
      <c r="AY22" s="23135" t="s">
        <v>492</v>
      </c>
      <c r="AZ22" s="23133"/>
      <c r="BA22" s="23135" t="s">
        <v>493</v>
      </c>
      <c r="BB22" s="23133"/>
      <c r="BC22" s="23133"/>
      <c r="BD22" s="23133"/>
      <c r="BE22" s="23133"/>
      <c r="BF22" s="23133"/>
      <c r="BG22" s="23135" t="s">
        <v>492</v>
      </c>
      <c r="BH22" s="23133"/>
      <c r="BI22" s="23135" t="s">
        <v>493</v>
      </c>
      <c r="BJ22" s="23133"/>
      <c r="BK22" s="23133"/>
      <c r="BL22" s="23133"/>
      <c r="BM22" s="23133"/>
      <c r="BN22" s="23133"/>
      <c r="BO22" s="23135" t="s">
        <v>492</v>
      </c>
      <c r="BP22" s="23133"/>
      <c r="BQ22" s="23135" t="s">
        <v>493</v>
      </c>
      <c r="BT22" s="1203"/>
      <c r="BU22" s="1203"/>
      <c r="BV22" s="1203"/>
      <c r="BW22" s="1203"/>
      <c r="BX22" s="1203"/>
      <c r="BY22" s="1852">
        <v>0</v>
      </c>
    </row>
    <row customHeight="1" ht="14.25" hidden="1">
      <c r="O23" s="2056"/>
      <c r="AL23" s="22944"/>
      <c r="AM23" s="22944"/>
      <c r="AN23" s="22944"/>
      <c r="AO23" s="22944"/>
      <c r="AP23" s="22944"/>
      <c r="AQ23" s="22944"/>
      <c r="AR23" s="22944"/>
      <c r="AS23" s="22944"/>
      <c r="AT23" s="22944"/>
      <c r="AU23" s="22944"/>
      <c r="AV23" s="22944"/>
      <c r="AW23" s="22944"/>
      <c r="AX23" s="22944"/>
      <c r="AY23" s="22944"/>
      <c r="AZ23" s="22944"/>
      <c r="BA23" s="22944"/>
      <c r="BB23" s="22944"/>
      <c r="BC23" s="22944"/>
      <c r="BD23" s="22944"/>
      <c r="BE23" s="22944"/>
      <c r="BF23" s="22944"/>
      <c r="BG23" s="22944"/>
      <c r="BH23" s="22944"/>
      <c r="BI23" s="22944"/>
      <c r="BJ23" s="22944"/>
      <c r="BK23" s="22944"/>
      <c r="BL23" s="22944"/>
      <c r="BM23" s="22944"/>
      <c r="BN23" s="22944"/>
      <c r="BO23" s="22944"/>
      <c r="BP23" s="22944"/>
      <c r="BQ23" s="22944"/>
      <c r="BY23" s="1847">
        <v>0</v>
      </c>
    </row>
    <row customHeight="1" ht="14.25" hidden="1">
      <c r="O24" s="2056"/>
      <c r="AL24" s="22944"/>
      <c r="AM24" s="22944"/>
      <c r="AN24" s="22944"/>
      <c r="AO24" s="22944"/>
      <c r="AP24" s="22944"/>
      <c r="AQ24" s="22944"/>
      <c r="AR24" s="22944"/>
      <c r="AS24" s="22944"/>
      <c r="AT24" s="22944"/>
      <c r="AU24" s="22944"/>
      <c r="AV24" s="22944"/>
      <c r="AW24" s="22944"/>
      <c r="AX24" s="22944"/>
      <c r="AY24" s="22944"/>
      <c r="AZ24" s="22944"/>
      <c r="BA24" s="22944"/>
      <c r="BB24" s="22944"/>
      <c r="BC24" s="22944"/>
      <c r="BD24" s="22944"/>
      <c r="BE24" s="22944"/>
      <c r="BF24" s="22944"/>
      <c r="BG24" s="22944"/>
      <c r="BH24" s="22944"/>
      <c r="BI24" s="22944"/>
      <c r="BJ24" s="22944"/>
      <c r="BK24" s="22944"/>
      <c r="BL24" s="22944"/>
      <c r="BM24" s="22944"/>
      <c r="BN24" s="22944"/>
      <c r="BO24" s="22944"/>
      <c r="BP24" s="22944"/>
      <c r="BQ24" s="22944"/>
      <c r="BY24" s="1847">
        <v>0</v>
      </c>
    </row>
    <row customHeight="1" ht="14.699999999999998">
      <c r="Q25" s="1068"/>
      <c r="R25" s="1068"/>
      <c r="S25" s="1967"/>
      <c r="T25" s="1055"/>
      <c r="U25" s="1055"/>
      <c r="V25" s="1201"/>
      <c r="W25" s="1201"/>
      <c r="X25" s="1201"/>
      <c r="Y25" s="1201"/>
      <c r="Z25" s="1201"/>
      <c r="AA25" s="1201"/>
      <c r="AB25" s="1201"/>
      <c r="AC25" s="1201"/>
      <c r="AD25" s="1201"/>
      <c r="AE25" s="1201"/>
      <c r="AF25" s="1201"/>
      <c r="AG25" s="1201"/>
      <c r="AH25" s="1201"/>
      <c r="AI25" s="1201"/>
      <c r="AJ25" s="1201"/>
      <c r="AK25" s="1201"/>
      <c r="AL25" s="22944"/>
      <c r="AM25" s="22944"/>
      <c r="AN25" s="22944"/>
      <c r="AO25" s="22944"/>
      <c r="AP25" s="22944"/>
      <c r="AQ25" s="22944"/>
      <c r="AR25" s="22944"/>
      <c r="AS25" s="22944"/>
      <c r="AT25" s="22944"/>
      <c r="AU25" s="22944"/>
      <c r="AV25" s="22944"/>
      <c r="AW25" s="22944"/>
      <c r="AX25" s="22944"/>
      <c r="AY25" s="22944"/>
      <c r="AZ25" s="22944"/>
      <c r="BA25" s="22944"/>
      <c r="BB25" s="22944"/>
      <c r="BC25" s="22944"/>
      <c r="BD25" s="22944"/>
      <c r="BE25" s="22944"/>
      <c r="BF25" s="22944"/>
      <c r="BG25" s="22944"/>
      <c r="BH25" s="22944"/>
      <c r="BI25" s="22944"/>
      <c r="BJ25" s="22944"/>
      <c r="BK25" s="22944"/>
      <c r="BL25" s="22944"/>
      <c r="BM25" s="22944"/>
      <c r="BN25" s="22944"/>
      <c r="BO25" s="22944"/>
      <c r="BP25" s="22944"/>
      <c r="BQ25" s="22944"/>
      <c r="BY25" s="1847">
        <v>14</v>
      </c>
    </row>
    <row customHeight="1" ht="14.699999999999998">
      <c r="Q26" s="1068"/>
      <c r="R26" s="1068"/>
      <c r="S26" s="294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40"/>
      <c r="U26" s="2940"/>
      <c r="V26" s="2940"/>
      <c r="W26" s="2940"/>
      <c r="X26" s="2940"/>
      <c r="Y26" s="2940"/>
      <c r="Z26" s="2940"/>
      <c r="AA26" s="2940"/>
      <c r="AB26" s="2940"/>
      <c r="AC26" s="2940"/>
      <c r="AD26" s="2940"/>
      <c r="AE26" s="2940"/>
      <c r="AF26" s="2940"/>
      <c r="AG26" s="2940"/>
      <c r="AH26" s="2940"/>
      <c r="AI26" s="2940"/>
      <c r="AJ26" s="2940"/>
      <c r="AK26" s="1935"/>
      <c r="AL26" s="23141"/>
      <c r="AM26" s="23141"/>
      <c r="AN26" s="23141"/>
      <c r="AO26" s="23141"/>
      <c r="AP26" s="23141"/>
      <c r="AQ26" s="23141"/>
      <c r="AR26" s="23141"/>
      <c r="AS26" s="23141"/>
      <c r="AT26" s="23141"/>
      <c r="AU26" s="23141"/>
      <c r="AV26" s="23141"/>
      <c r="AW26" s="23141"/>
      <c r="AX26" s="23141"/>
      <c r="AY26" s="23141"/>
      <c r="AZ26" s="23141"/>
      <c r="BA26" s="23141"/>
      <c r="BB26" s="23141"/>
      <c r="BC26" s="23141"/>
      <c r="BD26" s="23141"/>
      <c r="BE26" s="23141"/>
      <c r="BF26" s="23141"/>
      <c r="BG26" s="23141"/>
      <c r="BH26" s="23141"/>
      <c r="BI26" s="23141"/>
      <c r="BJ26" s="23141"/>
      <c r="BK26" s="23141"/>
      <c r="BL26" s="23141"/>
      <c r="BM26" s="23141"/>
      <c r="BN26" s="23141"/>
      <c r="BO26" s="23141"/>
      <c r="BP26" s="23141"/>
      <c r="BQ26" s="23141"/>
      <c r="BY26" s="1847">
        <v>14</v>
      </c>
    </row>
    <row customHeight="1" ht="14.699999999999998">
      <c r="Q27" s="1068"/>
      <c r="R27" s="1068"/>
      <c r="S27" s="2941" t="str">
        <f>IF(org=0,"Не определено",org)</f>
        <v>АО "ДГК"</v>
      </c>
      <c r="T27" s="2941"/>
      <c r="U27" s="2941"/>
      <c r="V27" s="2941"/>
      <c r="W27" s="2941"/>
      <c r="X27" s="2941"/>
      <c r="Y27" s="2941"/>
      <c r="Z27" s="2941"/>
      <c r="AA27" s="2941"/>
      <c r="AB27" s="2941"/>
      <c r="AC27" s="2941"/>
      <c r="AD27" s="2941"/>
      <c r="AE27" s="2941"/>
      <c r="AF27" s="2941"/>
      <c r="AG27" s="2941"/>
      <c r="AH27" s="2941"/>
      <c r="AI27" s="2941"/>
      <c r="AJ27" s="2941"/>
      <c r="AK27" s="1935"/>
      <c r="AL27" s="23143"/>
      <c r="AM27" s="23143"/>
      <c r="AN27" s="23143"/>
      <c r="AO27" s="23143"/>
      <c r="AP27" s="23143"/>
      <c r="AQ27" s="23143"/>
      <c r="AR27" s="23143"/>
      <c r="AS27" s="23143"/>
      <c r="AT27" s="23143"/>
      <c r="AU27" s="23143"/>
      <c r="AV27" s="23143"/>
      <c r="AW27" s="23143"/>
      <c r="AX27" s="23143"/>
      <c r="AY27" s="23143"/>
      <c r="AZ27" s="23143"/>
      <c r="BA27" s="23143"/>
      <c r="BB27" s="23143"/>
      <c r="BC27" s="23143"/>
      <c r="BD27" s="23143"/>
      <c r="BE27" s="23143"/>
      <c r="BF27" s="23143"/>
      <c r="BG27" s="23143"/>
      <c r="BH27" s="23143"/>
      <c r="BI27" s="23143"/>
      <c r="BJ27" s="23143"/>
      <c r="BK27" s="23143"/>
      <c r="BL27" s="23143"/>
      <c r="BM27" s="23143"/>
      <c r="BN27" s="23143"/>
      <c r="BO27" s="23143"/>
      <c r="BP27" s="23143"/>
      <c r="BQ27" s="23143"/>
      <c r="BY27" s="1847">
        <v>14</v>
      </c>
    </row>
    <row customHeight="1" ht="14.25" hidden="1">
      <c r="Q28" s="1068"/>
      <c r="R28" s="1068"/>
      <c r="S28" s="1967"/>
      <c r="T28" s="1055"/>
      <c r="U28" s="1055"/>
      <c r="V28" s="1014"/>
      <c r="W28" s="1014"/>
      <c r="X28" s="1014"/>
      <c r="Y28" s="1014"/>
      <c r="Z28" s="1014"/>
      <c r="AA28" s="1014"/>
      <c r="AB28" s="1014"/>
      <c r="AC28" s="1014"/>
      <c r="AD28" s="1014"/>
      <c r="AE28" s="1014"/>
      <c r="AF28" s="1014"/>
      <c r="AG28" s="1014"/>
      <c r="AH28" s="1014"/>
      <c r="AI28" s="1014"/>
      <c r="AJ28" s="1014"/>
      <c r="AK28" s="1014"/>
      <c r="AL28" s="23145"/>
      <c r="AM28" s="23145"/>
      <c r="AN28" s="23145"/>
      <c r="AO28" s="23145"/>
      <c r="AP28" s="23145"/>
      <c r="AQ28" s="23145"/>
      <c r="AR28" s="23145"/>
      <c r="AS28" s="23145"/>
      <c r="AT28" s="23145"/>
      <c r="AU28" s="23145"/>
      <c r="AV28" s="23145"/>
      <c r="AW28" s="23145"/>
      <c r="AX28" s="23145"/>
      <c r="AY28" s="23145"/>
      <c r="AZ28" s="23145"/>
      <c r="BA28" s="23145"/>
      <c r="BB28" s="23145"/>
      <c r="BC28" s="23145"/>
      <c r="BD28" s="23145"/>
      <c r="BE28" s="23145"/>
      <c r="BF28" s="23145"/>
      <c r="BG28" s="23145"/>
      <c r="BH28" s="23145"/>
      <c r="BI28" s="23145"/>
      <c r="BJ28" s="23145"/>
      <c r="BK28" s="23145"/>
      <c r="BL28" s="23145"/>
      <c r="BM28" s="23145"/>
      <c r="BN28" s="23145"/>
      <c r="BO28" s="23145"/>
      <c r="BP28" s="23145"/>
      <c r="BQ28" s="23145"/>
      <c r="BR28" s="1201"/>
      <c r="BY28" s="1847">
        <v>0</v>
      </c>
    </row>
    <row s="63055" customFormat="1" customHeight="1" ht="25.5" hidden="1">
      <c r="A29" s="2060"/>
      <c r="B29" s="2060"/>
      <c r="C29" s="2060"/>
      <c r="D29" s="2060"/>
      <c r="E29" s="2060"/>
      <c r="F29" s="2060"/>
      <c r="G29" s="2060"/>
      <c r="H29" s="2060"/>
      <c r="I29" s="2060"/>
      <c r="J29" s="2060"/>
      <c r="K29" s="2060"/>
      <c r="L29" s="2061"/>
      <c r="M29" s="2060"/>
      <c r="N29" s="2060"/>
      <c r="O29" s="2060"/>
      <c r="S29" s="2942" t="s">
        <v>42</v>
      </c>
      <c r="T29" s="2942"/>
      <c r="U29" s="2064"/>
      <c r="V29" s="2943" t="str">
        <f>IF(TITLE_NAME_OR_PR_CHANGE="",IF(TITLE_NAME_OR_PR="","",TITLE_NAME_OR_PR),TITLE_NAME_OR_PR_CHANGE)</f>
        <v/>
      </c>
      <c r="W29" s="2943"/>
      <c r="X29" s="2943"/>
      <c r="Y29" s="2943"/>
      <c r="Z29" s="2943"/>
      <c r="AA29" s="2943"/>
      <c r="AB29" s="2943"/>
      <c r="AC29" s="1018"/>
      <c r="AD29" s="2943" t="str">
        <f>IF(TITLE_NAME_OR_PR_CHANGE="",IF(TITLE_NAME_OR_PR="","",TITLE_NAME_OR_PR),TITLE_NAME_OR_PR_CHANGE)</f>
        <v/>
      </c>
      <c r="AE29" s="2943"/>
      <c r="AF29" s="2943"/>
      <c r="AG29" s="2943"/>
      <c r="AH29" s="2943"/>
      <c r="AI29" s="2943"/>
      <c r="AJ29" s="2943"/>
      <c r="AK29" s="1018"/>
      <c r="AL29" s="23152" t="str">
        <f>IF(TITLE_NAME_OR_PR_CHANGE="",IF(TITLE_NAME_OR_PR="","",TITLE_NAME_OR_PR),TITLE_NAME_OR_PR_CHANGE)</f>
        <v/>
      </c>
      <c r="AM29" s="23152"/>
      <c r="AN29" s="23152"/>
      <c r="AO29" s="23152"/>
      <c r="AP29" s="23152"/>
      <c r="AQ29" s="23152"/>
      <c r="AR29" s="23152"/>
      <c r="AS29" s="22944"/>
      <c r="AT29" s="23152" t="str">
        <f>IF(TITLE_NAME_OR_PR_CHANGE="",IF(TITLE_NAME_OR_PR="","",TITLE_NAME_OR_PR),TITLE_NAME_OR_PR_CHANGE)</f>
        <v/>
      </c>
      <c r="AU29" s="23152"/>
      <c r="AV29" s="23152"/>
      <c r="AW29" s="23152"/>
      <c r="AX29" s="23152"/>
      <c r="AY29" s="23152"/>
      <c r="AZ29" s="23152"/>
      <c r="BA29" s="22944"/>
      <c r="BB29" s="23152" t="str">
        <f>IF(TITLE_NAME_OR_PR_CHANGE="",IF(TITLE_NAME_OR_PR="","",TITLE_NAME_OR_PR),TITLE_NAME_OR_PR_CHANGE)</f>
        <v/>
      </c>
      <c r="BC29" s="23152"/>
      <c r="BD29" s="23152"/>
      <c r="BE29" s="23152"/>
      <c r="BF29" s="23152"/>
      <c r="BG29" s="23152"/>
      <c r="BH29" s="23152"/>
      <c r="BI29" s="22944"/>
      <c r="BJ29" s="23152" t="str">
        <f>IF(TITLE_NAME_OR_PR_CHANGE="",IF(TITLE_NAME_OR_PR="","",TITLE_NAME_OR_PR),TITLE_NAME_OR_PR_CHANGE)</f>
        <v/>
      </c>
      <c r="BK29" s="23152"/>
      <c r="BL29" s="23152"/>
      <c r="BM29" s="23152"/>
      <c r="BN29" s="23152"/>
      <c r="BO29" s="23152"/>
      <c r="BP29" s="23152"/>
      <c r="BQ29" s="22944"/>
      <c r="BR29" s="1018"/>
      <c r="BS29" s="972"/>
      <c r="BT29" s="1060"/>
      <c r="BU29" s="1060"/>
      <c r="BV29" s="1060"/>
      <c r="BW29" s="1060"/>
      <c r="BX29" s="1060"/>
      <c r="BY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495</v>
      </c>
      <c r="T30" s="2942"/>
      <c r="U30" s="2064"/>
      <c r="V30" s="2956" t="str">
        <f>IF(TITLE_DATE_PR_CHANGE="",IF(TITLE_DATE_PR="","",TITLE_DATE_PR),TITLE_DATE_PR_CHANGE)</f>
        <v>45981</v>
      </c>
      <c r="W30" s="2956"/>
      <c r="X30" s="2956"/>
      <c r="Y30" s="2956"/>
      <c r="Z30" s="2956"/>
      <c r="AA30" s="2956"/>
      <c r="AB30" s="2956"/>
      <c r="AC30" s="1018"/>
      <c r="AD30" s="2956" t="str">
        <f>IF(TITLE_DATE_PR_CHANGE="",IF(TITLE_DATE_PR="","",TITLE_DATE_PR),TITLE_DATE_PR_CHANGE)</f>
        <v>45981</v>
      </c>
      <c r="AE30" s="2956"/>
      <c r="AF30" s="2956"/>
      <c r="AG30" s="2956"/>
      <c r="AH30" s="2956"/>
      <c r="AI30" s="2956"/>
      <c r="AJ30" s="2956"/>
      <c r="AK30" s="1018"/>
      <c r="AL30" s="23157" t="str">
        <f>IF(TITLE_DATE_PR_CHANGE="",IF(TITLE_DATE_PR="","",TITLE_DATE_PR),TITLE_DATE_PR_CHANGE)</f>
        <v>45981</v>
      </c>
      <c r="AM30" s="23157"/>
      <c r="AN30" s="23157"/>
      <c r="AO30" s="23157"/>
      <c r="AP30" s="23157"/>
      <c r="AQ30" s="23157"/>
      <c r="AR30" s="23157"/>
      <c r="AS30" s="22944"/>
      <c r="AT30" s="23157" t="str">
        <f>IF(TITLE_DATE_PR_CHANGE="",IF(TITLE_DATE_PR="","",TITLE_DATE_PR),TITLE_DATE_PR_CHANGE)</f>
        <v>45981</v>
      </c>
      <c r="AU30" s="23157"/>
      <c r="AV30" s="23157"/>
      <c r="AW30" s="23157"/>
      <c r="AX30" s="23157"/>
      <c r="AY30" s="23157"/>
      <c r="AZ30" s="23157"/>
      <c r="BA30" s="22944"/>
      <c r="BB30" s="23157" t="str">
        <f>IF(TITLE_DATE_PR_CHANGE="",IF(TITLE_DATE_PR="","",TITLE_DATE_PR),TITLE_DATE_PR_CHANGE)</f>
        <v>45981</v>
      </c>
      <c r="BC30" s="23157"/>
      <c r="BD30" s="23157"/>
      <c r="BE30" s="23157"/>
      <c r="BF30" s="23157"/>
      <c r="BG30" s="23157"/>
      <c r="BH30" s="23157"/>
      <c r="BI30" s="22944"/>
      <c r="BJ30" s="23157" t="str">
        <f>IF(TITLE_DATE_PR_CHANGE="",IF(TITLE_DATE_PR="","",TITLE_DATE_PR),TITLE_DATE_PR_CHANGE)</f>
        <v>45981</v>
      </c>
      <c r="BK30" s="23157"/>
      <c r="BL30" s="23157"/>
      <c r="BM30" s="23157"/>
      <c r="BN30" s="23157"/>
      <c r="BO30" s="23157"/>
      <c r="BP30" s="23157"/>
      <c r="BQ30" s="22944"/>
      <c r="BR30" s="1018"/>
      <c r="BS30" s="972"/>
      <c r="BT30" s="1060"/>
      <c r="BU30" s="1060"/>
      <c r="BV30" s="1060"/>
      <c r="BW30" s="1060"/>
      <c r="BX30" s="1060"/>
      <c r="BY30" s="1110">
        <v>0</v>
      </c>
    </row>
    <row s="63055" customFormat="1" customHeight="1" ht="18.75" hidden="1">
      <c r="A31" s="2060"/>
      <c r="B31" s="2060"/>
      <c r="C31" s="2060"/>
      <c r="D31" s="2060"/>
      <c r="E31" s="2060"/>
      <c r="F31" s="2060"/>
      <c r="G31" s="2060"/>
      <c r="H31" s="2060"/>
      <c r="I31" s="2060"/>
      <c r="J31" s="2060"/>
      <c r="K31" s="2060"/>
      <c r="L31" s="2061"/>
      <c r="M31" s="2060"/>
      <c r="N31" s="2060"/>
      <c r="O31" s="2060"/>
      <c r="S31" s="2942" t="s">
        <v>496</v>
      </c>
      <c r="T31" s="2942"/>
      <c r="U31" s="2064"/>
      <c r="V31" s="2943" t="str">
        <f>IF(TITLE_NUMBER_PR_CHANGE="",IF(TITLE_NUMBER_PR="","",TITLE_NUMBER_PR),TITLE_NUMBER_PR_CHANGE)</f>
        <v>Исх-260/1781</v>
      </c>
      <c r="W31" s="2943"/>
      <c r="X31" s="2943"/>
      <c r="Y31" s="2943"/>
      <c r="Z31" s="2943"/>
      <c r="AA31" s="2943"/>
      <c r="AB31" s="2943"/>
      <c r="AC31" s="1018"/>
      <c r="AD31" s="2943" t="str">
        <f>IF(TITLE_NUMBER_PR_CHANGE="",IF(TITLE_NUMBER_PR="","",TITLE_NUMBER_PR),TITLE_NUMBER_PR_CHANGE)</f>
        <v>Исх-260/1781</v>
      </c>
      <c r="AE31" s="2943"/>
      <c r="AF31" s="2943"/>
      <c r="AG31" s="2943"/>
      <c r="AH31" s="2943"/>
      <c r="AI31" s="2943"/>
      <c r="AJ31" s="2943"/>
      <c r="AK31" s="1018"/>
      <c r="AL31" s="23152" t="str">
        <f>IF(TITLE_NUMBER_PR_CHANGE="",IF(TITLE_NUMBER_PR="","",TITLE_NUMBER_PR),TITLE_NUMBER_PR_CHANGE)</f>
        <v>Исх-260/1781</v>
      </c>
      <c r="AM31" s="23152"/>
      <c r="AN31" s="23152"/>
      <c r="AO31" s="23152"/>
      <c r="AP31" s="23152"/>
      <c r="AQ31" s="23152"/>
      <c r="AR31" s="23152"/>
      <c r="AS31" s="22944"/>
      <c r="AT31" s="23152" t="str">
        <f>IF(TITLE_NUMBER_PR_CHANGE="",IF(TITLE_NUMBER_PR="","",TITLE_NUMBER_PR),TITLE_NUMBER_PR_CHANGE)</f>
        <v>Исх-260/1781</v>
      </c>
      <c r="AU31" s="23152"/>
      <c r="AV31" s="23152"/>
      <c r="AW31" s="23152"/>
      <c r="AX31" s="23152"/>
      <c r="AY31" s="23152"/>
      <c r="AZ31" s="23152"/>
      <c r="BA31" s="22944"/>
      <c r="BB31" s="23152" t="str">
        <f>IF(TITLE_NUMBER_PR_CHANGE="",IF(TITLE_NUMBER_PR="","",TITLE_NUMBER_PR),TITLE_NUMBER_PR_CHANGE)</f>
        <v>Исх-260/1781</v>
      </c>
      <c r="BC31" s="23152"/>
      <c r="BD31" s="23152"/>
      <c r="BE31" s="23152"/>
      <c r="BF31" s="23152"/>
      <c r="BG31" s="23152"/>
      <c r="BH31" s="23152"/>
      <c r="BI31" s="22944"/>
      <c r="BJ31" s="23152" t="str">
        <f>IF(TITLE_NUMBER_PR_CHANGE="",IF(TITLE_NUMBER_PR="","",TITLE_NUMBER_PR),TITLE_NUMBER_PR_CHANGE)</f>
        <v>Исх-260/1781</v>
      </c>
      <c r="BK31" s="23152"/>
      <c r="BL31" s="23152"/>
      <c r="BM31" s="23152"/>
      <c r="BN31" s="23152"/>
      <c r="BO31" s="23152"/>
      <c r="BP31" s="23152"/>
      <c r="BQ31" s="22944"/>
      <c r="BR31" s="1018"/>
      <c r="BS31" s="972"/>
      <c r="BT31" s="1060"/>
      <c r="BU31" s="1060"/>
      <c r="BV31" s="1060"/>
      <c r="BW31" s="1060"/>
      <c r="BX31" s="1060"/>
      <c r="BY31" s="1110">
        <v>0</v>
      </c>
    </row>
    <row s="63055" customFormat="1" customHeight="1" ht="18.75" hidden="1">
      <c r="A32" s="2060"/>
      <c r="B32" s="2060"/>
      <c r="C32" s="2060"/>
      <c r="D32" s="2060"/>
      <c r="E32" s="2060"/>
      <c r="F32" s="2060"/>
      <c r="G32" s="2060"/>
      <c r="H32" s="2060"/>
      <c r="I32" s="2060"/>
      <c r="J32" s="2060"/>
      <c r="K32" s="2060"/>
      <c r="L32" s="2061"/>
      <c r="M32" s="2060"/>
      <c r="N32" s="2060"/>
      <c r="O32" s="2060"/>
      <c r="S32" s="2942" t="s">
        <v>43</v>
      </c>
      <c r="T32" s="2942"/>
      <c r="U32" s="2064"/>
      <c r="V32" s="2943" t="str">
        <f>IF(TITLE_IST_PUB_CHANGE="",IF(TITLE_IST_PUB="","",TITLE_IST_PUB),TITLE_IST_PUB_CHANGE)</f>
        <v/>
      </c>
      <c r="W32" s="2943"/>
      <c r="X32" s="2943"/>
      <c r="Y32" s="2943"/>
      <c r="Z32" s="2943"/>
      <c r="AA32" s="2943"/>
      <c r="AB32" s="2943"/>
      <c r="AC32" s="1018"/>
      <c r="AD32" s="2943" t="str">
        <f>IF(TITLE_IST_PUB_CHANGE="",IF(TITLE_IST_PUB="","",TITLE_IST_PUB),TITLE_IST_PUB_CHANGE)</f>
        <v/>
      </c>
      <c r="AE32" s="2943"/>
      <c r="AF32" s="2943"/>
      <c r="AG32" s="2943"/>
      <c r="AH32" s="2943"/>
      <c r="AI32" s="2943"/>
      <c r="AJ32" s="2943"/>
      <c r="AK32" s="1018"/>
      <c r="AL32" s="23152" t="str">
        <f>IF(TITLE_IST_PUB_CHANGE="",IF(TITLE_IST_PUB="","",TITLE_IST_PUB),TITLE_IST_PUB_CHANGE)</f>
        <v/>
      </c>
      <c r="AM32" s="23152"/>
      <c r="AN32" s="23152"/>
      <c r="AO32" s="23152"/>
      <c r="AP32" s="23152"/>
      <c r="AQ32" s="23152"/>
      <c r="AR32" s="23152"/>
      <c r="AS32" s="22944"/>
      <c r="AT32" s="23152" t="str">
        <f>IF(TITLE_IST_PUB_CHANGE="",IF(TITLE_IST_PUB="","",TITLE_IST_PUB),TITLE_IST_PUB_CHANGE)</f>
        <v/>
      </c>
      <c r="AU32" s="23152"/>
      <c r="AV32" s="23152"/>
      <c r="AW32" s="23152"/>
      <c r="AX32" s="23152"/>
      <c r="AY32" s="23152"/>
      <c r="AZ32" s="23152"/>
      <c r="BA32" s="22944"/>
      <c r="BB32" s="23152" t="str">
        <f>IF(TITLE_IST_PUB_CHANGE="",IF(TITLE_IST_PUB="","",TITLE_IST_PUB),TITLE_IST_PUB_CHANGE)</f>
        <v/>
      </c>
      <c r="BC32" s="23152"/>
      <c r="BD32" s="23152"/>
      <c r="BE32" s="23152"/>
      <c r="BF32" s="23152"/>
      <c r="BG32" s="23152"/>
      <c r="BH32" s="23152"/>
      <c r="BI32" s="22944"/>
      <c r="BJ32" s="23152" t="str">
        <f>IF(TITLE_IST_PUB_CHANGE="",IF(TITLE_IST_PUB="","",TITLE_IST_PUB),TITLE_IST_PUB_CHANGE)</f>
        <v/>
      </c>
      <c r="BK32" s="23152"/>
      <c r="BL32" s="23152"/>
      <c r="BM32" s="23152"/>
      <c r="BN32" s="23152"/>
      <c r="BO32" s="23152"/>
      <c r="BP32" s="23152"/>
      <c r="BQ32" s="22944"/>
      <c r="BR32" s="1018"/>
      <c r="BS32" s="972"/>
      <c r="BT32" s="1060"/>
      <c r="BU32" s="1060"/>
      <c r="BV32" s="1060"/>
      <c r="BW32" s="1060"/>
      <c r="BX32" s="1060"/>
      <c r="BY32" s="1110">
        <v>0</v>
      </c>
    </row>
    <row customHeight="1" ht="14.25">
      <c r="Q33" s="1068"/>
      <c r="R33" s="1068"/>
      <c r="S33" s="1967"/>
      <c r="T33" s="1055"/>
      <c r="U33" s="1055"/>
      <c r="V33" s="1014"/>
      <c r="W33" s="1014"/>
      <c r="X33" s="1014"/>
      <c r="Y33" s="1014"/>
      <c r="Z33" s="1014"/>
      <c r="AA33" s="1014"/>
      <c r="AB33" s="1014"/>
      <c r="AC33" s="1014"/>
      <c r="AD33" s="1014"/>
      <c r="AE33" s="1014"/>
      <c r="AF33" s="1014"/>
      <c r="AG33" s="1014"/>
      <c r="AH33" s="1014"/>
      <c r="AI33" s="1014"/>
      <c r="AJ33" s="1014"/>
      <c r="AK33" s="1014"/>
      <c r="AL33" s="23145"/>
      <c r="AM33" s="23145"/>
      <c r="AN33" s="23145"/>
      <c r="AO33" s="23145"/>
      <c r="AP33" s="23145"/>
      <c r="AQ33" s="23145"/>
      <c r="AR33" s="23145"/>
      <c r="AS33" s="23145"/>
      <c r="AT33" s="23145"/>
      <c r="AU33" s="23145"/>
      <c r="AV33" s="23145"/>
      <c r="AW33" s="23145"/>
      <c r="AX33" s="23145"/>
      <c r="AY33" s="23145"/>
      <c r="AZ33" s="23145"/>
      <c r="BA33" s="23145"/>
      <c r="BB33" s="23145"/>
      <c r="BC33" s="23145"/>
      <c r="BD33" s="23145"/>
      <c r="BE33" s="23145"/>
      <c r="BF33" s="23145"/>
      <c r="BG33" s="23145"/>
      <c r="BH33" s="23145"/>
      <c r="BI33" s="23145"/>
      <c r="BJ33" s="23145"/>
      <c r="BK33" s="23145"/>
      <c r="BL33" s="23145"/>
      <c r="BM33" s="23145"/>
      <c r="BN33" s="23145"/>
      <c r="BO33" s="23145"/>
      <c r="BP33" s="23145"/>
      <c r="BQ33" s="23145"/>
      <c r="BR33" s="1201"/>
      <c r="BY33" s="1847">
        <v>0</v>
      </c>
    </row>
    <row s="63055" customFormat="1" customHeight="1" ht="18.75">
      <c r="A34" s="2060"/>
      <c r="B34" s="2060"/>
      <c r="C34" s="2060"/>
      <c r="D34" s="2060"/>
      <c r="E34" s="2060"/>
      <c r="F34" s="2060"/>
      <c r="G34" s="2060"/>
      <c r="H34" s="2060"/>
      <c r="I34" s="2060"/>
      <c r="J34" s="2060"/>
      <c r="K34" s="2060"/>
      <c r="L34" s="2061"/>
      <c r="M34" s="2060"/>
      <c r="N34" s="2060"/>
      <c r="O34" s="2060"/>
      <c r="S34" s="2942" t="s">
        <v>497</v>
      </c>
      <c r="T34" s="2942"/>
      <c r="U34" s="2064"/>
      <c r="V34" s="2956" t="str">
        <f>IF(TITLE_DATE_PR_CHANGE="",IF(TITLE_DATE_PR="","",TITLE_DATE_PR),TITLE_DATE_PR_CHANGE)</f>
        <v>45981</v>
      </c>
      <c r="W34" s="2956"/>
      <c r="X34" s="2956"/>
      <c r="Y34" s="2956"/>
      <c r="Z34" s="2956"/>
      <c r="AA34" s="2956"/>
      <c r="AB34" s="2956"/>
      <c r="AC34" s="1018"/>
      <c r="AD34" s="2956" t="str">
        <f>IF(TITLE_DATE_PR_CHANGE="",IF(TITLE_DATE_PR="","",TITLE_DATE_PR),TITLE_DATE_PR_CHANGE)</f>
        <v>45981</v>
      </c>
      <c r="AE34" s="2956"/>
      <c r="AF34" s="2956"/>
      <c r="AG34" s="2956"/>
      <c r="AH34" s="2956"/>
      <c r="AI34" s="2956"/>
      <c r="AJ34" s="2956"/>
      <c r="AK34" s="1018"/>
      <c r="AL34" s="23157" t="str">
        <f>IF(TITLE_DATE_PR_CHANGE="",IF(TITLE_DATE_PR="","",TITLE_DATE_PR),TITLE_DATE_PR_CHANGE)</f>
        <v>45981</v>
      </c>
      <c r="AM34" s="23157"/>
      <c r="AN34" s="23157"/>
      <c r="AO34" s="23157"/>
      <c r="AP34" s="23157"/>
      <c r="AQ34" s="23157"/>
      <c r="AR34" s="23157"/>
      <c r="AS34" s="22944"/>
      <c r="AT34" s="23157" t="str">
        <f>IF(TITLE_DATE_PR_CHANGE="",IF(TITLE_DATE_PR="","",TITLE_DATE_PR),TITLE_DATE_PR_CHANGE)</f>
        <v>45981</v>
      </c>
      <c r="AU34" s="23157"/>
      <c r="AV34" s="23157"/>
      <c r="AW34" s="23157"/>
      <c r="AX34" s="23157"/>
      <c r="AY34" s="23157"/>
      <c r="AZ34" s="23157"/>
      <c r="BA34" s="22944"/>
      <c r="BB34" s="23157" t="str">
        <f>IF(TITLE_DATE_PR_CHANGE="",IF(TITLE_DATE_PR="","",TITLE_DATE_PR),TITLE_DATE_PR_CHANGE)</f>
        <v>45981</v>
      </c>
      <c r="BC34" s="23157"/>
      <c r="BD34" s="23157"/>
      <c r="BE34" s="23157"/>
      <c r="BF34" s="23157"/>
      <c r="BG34" s="23157"/>
      <c r="BH34" s="23157"/>
      <c r="BI34" s="22944"/>
      <c r="BJ34" s="23157" t="str">
        <f>IF(TITLE_DATE_PR_CHANGE="",IF(TITLE_DATE_PR="","",TITLE_DATE_PR),TITLE_DATE_PR_CHANGE)</f>
        <v>45981</v>
      </c>
      <c r="BK34" s="23157"/>
      <c r="BL34" s="23157"/>
      <c r="BM34" s="23157"/>
      <c r="BN34" s="23157"/>
      <c r="BO34" s="23157"/>
      <c r="BP34" s="23157"/>
      <c r="BQ34" s="22944"/>
      <c r="BR34" s="1018"/>
      <c r="BS34" s="972"/>
      <c r="BT34" s="1060"/>
      <c r="BU34" s="1060"/>
      <c r="BV34" s="1060"/>
      <c r="BW34" s="1060"/>
      <c r="BX34" s="1060"/>
      <c r="BY34" s="1110">
        <v>0</v>
      </c>
    </row>
    <row s="63055" customFormat="1" customHeight="1" ht="18.75">
      <c r="A35" s="2060"/>
      <c r="B35" s="2060"/>
      <c r="C35" s="2060"/>
      <c r="D35" s="2060"/>
      <c r="E35" s="2060"/>
      <c r="F35" s="2060"/>
      <c r="G35" s="2060"/>
      <c r="H35" s="2060"/>
      <c r="I35" s="2060"/>
      <c r="J35" s="2060"/>
      <c r="K35" s="2060"/>
      <c r="L35" s="2061"/>
      <c r="M35" s="2060"/>
      <c r="N35" s="2060"/>
      <c r="O35" s="2060"/>
      <c r="S35" s="2942" t="s">
        <v>498</v>
      </c>
      <c r="T35" s="2942"/>
      <c r="U35" s="2064"/>
      <c r="V35" s="2943" t="str">
        <f>IF(TITLE_NUMBER_PR_CHANGE="",IF(TITLE_NUMBER_PR="","",TITLE_NUMBER_PR),TITLE_NUMBER_PR_CHANGE)</f>
        <v>Исх-260/1781</v>
      </c>
      <c r="W35" s="2943"/>
      <c r="X35" s="2943"/>
      <c r="Y35" s="2943"/>
      <c r="Z35" s="2943"/>
      <c r="AA35" s="2943"/>
      <c r="AB35" s="2943"/>
      <c r="AC35" s="1018"/>
      <c r="AD35" s="2943" t="str">
        <f>IF(TITLE_NUMBER_PR_CHANGE="",IF(TITLE_NUMBER_PR="","",TITLE_NUMBER_PR),TITLE_NUMBER_PR_CHANGE)</f>
        <v>Исх-260/1781</v>
      </c>
      <c r="AE35" s="2943"/>
      <c r="AF35" s="2943"/>
      <c r="AG35" s="2943"/>
      <c r="AH35" s="2943"/>
      <c r="AI35" s="2943"/>
      <c r="AJ35" s="2943"/>
      <c r="AK35" s="1018"/>
      <c r="AL35" s="23152" t="str">
        <f>IF(TITLE_NUMBER_PR_CHANGE="",IF(TITLE_NUMBER_PR="","",TITLE_NUMBER_PR),TITLE_NUMBER_PR_CHANGE)</f>
        <v>Исх-260/1781</v>
      </c>
      <c r="AM35" s="23152"/>
      <c r="AN35" s="23152"/>
      <c r="AO35" s="23152"/>
      <c r="AP35" s="23152"/>
      <c r="AQ35" s="23152"/>
      <c r="AR35" s="23152"/>
      <c r="AS35" s="22944"/>
      <c r="AT35" s="23152" t="str">
        <f>IF(TITLE_NUMBER_PR_CHANGE="",IF(TITLE_NUMBER_PR="","",TITLE_NUMBER_PR),TITLE_NUMBER_PR_CHANGE)</f>
        <v>Исх-260/1781</v>
      </c>
      <c r="AU35" s="23152"/>
      <c r="AV35" s="23152"/>
      <c r="AW35" s="23152"/>
      <c r="AX35" s="23152"/>
      <c r="AY35" s="23152"/>
      <c r="AZ35" s="23152"/>
      <c r="BA35" s="22944"/>
      <c r="BB35" s="23152" t="str">
        <f>IF(TITLE_NUMBER_PR_CHANGE="",IF(TITLE_NUMBER_PR="","",TITLE_NUMBER_PR),TITLE_NUMBER_PR_CHANGE)</f>
        <v>Исх-260/1781</v>
      </c>
      <c r="BC35" s="23152"/>
      <c r="BD35" s="23152"/>
      <c r="BE35" s="23152"/>
      <c r="BF35" s="23152"/>
      <c r="BG35" s="23152"/>
      <c r="BH35" s="23152"/>
      <c r="BI35" s="22944"/>
      <c r="BJ35" s="23152" t="str">
        <f>IF(TITLE_NUMBER_PR_CHANGE="",IF(TITLE_NUMBER_PR="","",TITLE_NUMBER_PR),TITLE_NUMBER_PR_CHANGE)</f>
        <v>Исх-260/1781</v>
      </c>
      <c r="BK35" s="23152"/>
      <c r="BL35" s="23152"/>
      <c r="BM35" s="23152"/>
      <c r="BN35" s="23152"/>
      <c r="BO35" s="23152"/>
      <c r="BP35" s="23152"/>
      <c r="BQ35" s="22944"/>
      <c r="BR35" s="1018"/>
      <c r="BS35" s="972"/>
      <c r="BT35" s="1060"/>
      <c r="BU35" s="1060"/>
      <c r="BV35" s="1060"/>
      <c r="BW35" s="1060"/>
      <c r="BX35" s="1060"/>
      <c r="BY35" s="1110">
        <v>0</v>
      </c>
    </row>
    <row s="63055" customFormat="1" customHeight="1" ht="0">
      <c r="A36" s="2060"/>
      <c r="B36" s="2060"/>
      <c r="C36" s="2060"/>
      <c r="D36" s="2060"/>
      <c r="E36" s="2060"/>
      <c r="F36" s="2060"/>
      <c r="G36" s="2060"/>
      <c r="H36" s="2060"/>
      <c r="I36" s="2060"/>
      <c r="J36" s="2060"/>
      <c r="K36" s="2060"/>
      <c r="L36" s="2061"/>
      <c r="M36" s="2060"/>
      <c r="N36" s="2060"/>
      <c r="O36" s="2060"/>
      <c r="S36" s="1015"/>
      <c r="T36" s="1015"/>
      <c r="U36" s="2032"/>
      <c r="V36" s="1018"/>
      <c r="W36" s="1018"/>
      <c r="X36" s="1018"/>
      <c r="Y36" s="1018"/>
      <c r="Z36" s="1018"/>
      <c r="AA36" s="1018"/>
      <c r="AB36" s="1018"/>
      <c r="AC36" s="970" t="s">
        <v>499</v>
      </c>
      <c r="AD36" s="1018"/>
      <c r="AE36" s="1018"/>
      <c r="AF36" s="1018"/>
      <c r="AG36" s="1018"/>
      <c r="AH36" s="1018"/>
      <c r="AI36" s="1018"/>
      <c r="AJ36" s="1018"/>
      <c r="AK36" s="970" t="s">
        <v>499</v>
      </c>
      <c r="AL36" s="22944"/>
      <c r="AM36" s="22944"/>
      <c r="AN36" s="22944"/>
      <c r="AO36" s="22944"/>
      <c r="AP36" s="22944"/>
      <c r="AQ36" s="22944"/>
      <c r="AR36" s="22944"/>
      <c r="AS36" s="23161" t="s">
        <v>499</v>
      </c>
      <c r="AT36" s="22944"/>
      <c r="AU36" s="22944"/>
      <c r="AV36" s="22944"/>
      <c r="AW36" s="22944"/>
      <c r="AX36" s="22944"/>
      <c r="AY36" s="22944"/>
      <c r="AZ36" s="22944"/>
      <c r="BA36" s="23161" t="s">
        <v>499</v>
      </c>
      <c r="BB36" s="22944"/>
      <c r="BC36" s="22944"/>
      <c r="BD36" s="22944"/>
      <c r="BE36" s="22944"/>
      <c r="BF36" s="22944"/>
      <c r="BG36" s="22944"/>
      <c r="BH36" s="22944"/>
      <c r="BI36" s="23161" t="s">
        <v>499</v>
      </c>
      <c r="BJ36" s="22944"/>
      <c r="BK36" s="22944"/>
      <c r="BL36" s="22944"/>
      <c r="BM36" s="22944"/>
      <c r="BN36" s="22944"/>
      <c r="BO36" s="22944"/>
      <c r="BP36" s="22944"/>
      <c r="BQ36" s="23161" t="s">
        <v>499</v>
      </c>
      <c r="BT36" s="1060"/>
      <c r="BU36" s="1060"/>
      <c r="BV36" s="1060"/>
      <c r="BW36" s="1060"/>
      <c r="BX36" s="1060"/>
      <c r="BY36" s="1110">
        <v>0</v>
      </c>
    </row>
    <row customHeight="1" ht="14.699999999999998">
      <c r="Q37" s="1068"/>
      <c r="R37" s="1068"/>
      <c r="S37" s="1967"/>
      <c r="T37" s="1055"/>
      <c r="U37" s="1936"/>
      <c r="V37" s="2944"/>
      <c r="W37" s="2944"/>
      <c r="X37" s="2944"/>
      <c r="Y37" s="2944"/>
      <c r="Z37" s="2944"/>
      <c r="AA37" s="2944"/>
      <c r="AB37" s="2944"/>
      <c r="AC37" s="2944"/>
      <c r="AD37" s="2944"/>
      <c r="AE37" s="2944"/>
      <c r="AF37" s="2944"/>
      <c r="AG37" s="2944"/>
      <c r="AH37" s="2944"/>
      <c r="AI37" s="2944"/>
      <c r="AJ37" s="2944"/>
      <c r="AK37" s="2944"/>
      <c r="AL37" s="23164" t="s">
        <v>104</v>
      </c>
      <c r="AM37" s="23164"/>
      <c r="AN37" s="23164"/>
      <c r="AO37" s="23164"/>
      <c r="AP37" s="23164"/>
      <c r="AQ37" s="23164"/>
      <c r="AR37" s="23164"/>
      <c r="AS37" s="23164"/>
      <c r="AT37" s="23164" t="s">
        <v>104</v>
      </c>
      <c r="AU37" s="23164"/>
      <c r="AV37" s="23164"/>
      <c r="AW37" s="23164"/>
      <c r="AX37" s="23164"/>
      <c r="AY37" s="23164"/>
      <c r="AZ37" s="23164"/>
      <c r="BA37" s="23164"/>
      <c r="BB37" s="23164" t="s">
        <v>104</v>
      </c>
      <c r="BC37" s="23164"/>
      <c r="BD37" s="23164"/>
      <c r="BE37" s="23164"/>
      <c r="BF37" s="23164"/>
      <c r="BG37" s="23164"/>
      <c r="BH37" s="23164"/>
      <c r="BI37" s="23164"/>
      <c r="BJ37" s="23164" t="s">
        <v>104</v>
      </c>
      <c r="BK37" s="23164"/>
      <c r="BL37" s="23164"/>
      <c r="BM37" s="23164"/>
      <c r="BN37" s="23164"/>
      <c r="BO37" s="23164"/>
      <c r="BP37" s="23164"/>
      <c r="BQ37" s="23164"/>
      <c r="BY37" s="1847">
        <v>14</v>
      </c>
    </row>
    <row customHeight="1" ht="15">
      <c r="Q38" s="1068"/>
      <c r="R38" s="1068"/>
      <c r="S38" s="2819" t="s">
        <v>375</v>
      </c>
      <c r="T38" s="2819"/>
      <c r="U38" s="2819"/>
      <c r="V38" s="2819"/>
      <c r="W38" s="2819"/>
      <c r="X38" s="2819"/>
      <c r="Y38" s="2819"/>
      <c r="Z38" s="2819"/>
      <c r="AA38" s="2819"/>
      <c r="AB38" s="2819"/>
      <c r="AC38" s="2819"/>
      <c r="AD38" s="2819"/>
      <c r="AE38" s="2819"/>
      <c r="AF38" s="2819"/>
      <c r="AG38" s="2819"/>
      <c r="AH38" s="2819"/>
      <c r="AI38" s="2819"/>
      <c r="AJ38" s="2819"/>
      <c r="AK38" s="2819"/>
      <c r="AL38" s="23165" t="s">
        <v>375</v>
      </c>
      <c r="AM38" s="23165"/>
      <c r="AN38" s="23165"/>
      <c r="AO38" s="23165"/>
      <c r="AP38" s="23165"/>
      <c r="AQ38" s="23165"/>
      <c r="AR38" s="23165"/>
      <c r="AS38" s="23165"/>
      <c r="AT38" s="23165" t="s">
        <v>375</v>
      </c>
      <c r="AU38" s="23165"/>
      <c r="AV38" s="23165"/>
      <c r="AW38" s="23165"/>
      <c r="AX38" s="23165"/>
      <c r="AY38" s="23165"/>
      <c r="AZ38" s="23165"/>
      <c r="BA38" s="23165"/>
      <c r="BB38" s="23165" t="s">
        <v>375</v>
      </c>
      <c r="BC38" s="23165"/>
      <c r="BD38" s="23165"/>
      <c r="BE38" s="23165"/>
      <c r="BF38" s="23165"/>
      <c r="BG38" s="23165"/>
      <c r="BH38" s="23165"/>
      <c r="BI38" s="23165"/>
      <c r="BJ38" s="23165" t="s">
        <v>375</v>
      </c>
      <c r="BK38" s="23165"/>
      <c r="BL38" s="23165"/>
      <c r="BM38" s="23165"/>
      <c r="BN38" s="23165"/>
      <c r="BO38" s="23165"/>
      <c r="BP38" s="23165"/>
      <c r="BQ38" s="23165"/>
      <c r="BR38" s="2819"/>
      <c r="BS38" s="2819"/>
      <c r="BY38" s="1847"/>
    </row>
    <row customHeight="1" ht="14.699999999999998">
      <c r="Q39" s="1068"/>
      <c r="R39" s="1068"/>
      <c r="S39" s="2965" t="s">
        <v>89</v>
      </c>
      <c r="T39" s="2901" t="s">
        <v>500</v>
      </c>
      <c r="U39" s="993"/>
      <c r="V39" s="2966" t="s">
        <v>501</v>
      </c>
      <c r="W39" s="2967"/>
      <c r="X39" s="2967"/>
      <c r="Y39" s="2967"/>
      <c r="Z39" s="2967"/>
      <c r="AA39" s="2967"/>
      <c r="AB39" s="2968"/>
      <c r="AC39" s="2969" t="s">
        <v>502</v>
      </c>
      <c r="AD39" s="2966" t="s">
        <v>501</v>
      </c>
      <c r="AE39" s="2967"/>
      <c r="AF39" s="2967"/>
      <c r="AG39" s="2967"/>
      <c r="AH39" s="2967"/>
      <c r="AI39" s="2967"/>
      <c r="AJ39" s="2968"/>
      <c r="AK39" s="2969" t="s">
        <v>503</v>
      </c>
      <c r="AL39" s="23172" t="s">
        <v>501</v>
      </c>
      <c r="AM39" s="23173"/>
      <c r="AN39" s="23173"/>
      <c r="AO39" s="23173"/>
      <c r="AP39" s="23173"/>
      <c r="AQ39" s="23173"/>
      <c r="AR39" s="23174"/>
      <c r="AS39" s="23175" t="s">
        <v>502</v>
      </c>
      <c r="AT39" s="23172" t="s">
        <v>501</v>
      </c>
      <c r="AU39" s="23173"/>
      <c r="AV39" s="23173"/>
      <c r="AW39" s="23173"/>
      <c r="AX39" s="23173"/>
      <c r="AY39" s="23173"/>
      <c r="AZ39" s="23174"/>
      <c r="BA39" s="23175" t="s">
        <v>502</v>
      </c>
      <c r="BB39" s="23172" t="s">
        <v>501</v>
      </c>
      <c r="BC39" s="23173"/>
      <c r="BD39" s="23173"/>
      <c r="BE39" s="23173"/>
      <c r="BF39" s="23173"/>
      <c r="BG39" s="23173"/>
      <c r="BH39" s="23174"/>
      <c r="BI39" s="23175" t="s">
        <v>502</v>
      </c>
      <c r="BJ39" s="23172" t="s">
        <v>501</v>
      </c>
      <c r="BK39" s="23173"/>
      <c r="BL39" s="23173"/>
      <c r="BM39" s="23173"/>
      <c r="BN39" s="23173"/>
      <c r="BO39" s="23173"/>
      <c r="BP39" s="23174"/>
      <c r="BQ39" s="23175" t="s">
        <v>502</v>
      </c>
      <c r="BR39" s="2972" t="s">
        <v>504</v>
      </c>
      <c r="BS39" s="2819"/>
      <c r="BY39" s="1847">
        <v>14</v>
      </c>
    </row>
    <row customHeight="1" ht="35.699999999999996">
      <c r="Q40" s="1068"/>
      <c r="R40" s="1068"/>
      <c r="S40" s="2965"/>
      <c r="T40" s="2901"/>
      <c r="U40" s="1723"/>
      <c r="V40" s="2952" t="s">
        <v>505</v>
      </c>
      <c r="W40" s="2975" t="s">
        <v>506</v>
      </c>
      <c r="X40" s="2954" t="s">
        <v>507</v>
      </c>
      <c r="Y40" s="2955"/>
      <c r="Z40" s="2954" t="s">
        <v>523</v>
      </c>
      <c r="AA40" s="2961"/>
      <c r="AB40" s="2955"/>
      <c r="AC40" s="2970"/>
      <c r="AD40" s="2952" t="s">
        <v>505</v>
      </c>
      <c r="AE40" s="2975" t="s">
        <v>506</v>
      </c>
      <c r="AF40" s="2954" t="s">
        <v>507</v>
      </c>
      <c r="AG40" s="2955"/>
      <c r="AH40" s="2954" t="s">
        <v>508</v>
      </c>
      <c r="AI40" s="2961"/>
      <c r="AJ40" s="2955"/>
      <c r="AK40" s="2970"/>
      <c r="AL40" s="23185" t="s">
        <v>505</v>
      </c>
      <c r="AM40" s="23186" t="s">
        <v>506</v>
      </c>
      <c r="AN40" s="23187" t="s">
        <v>507</v>
      </c>
      <c r="AO40" s="23188"/>
      <c r="AP40" s="23187" t="s">
        <v>523</v>
      </c>
      <c r="AQ40" s="23189"/>
      <c r="AR40" s="23188"/>
      <c r="AS40" s="23190"/>
      <c r="AT40" s="23185" t="s">
        <v>505</v>
      </c>
      <c r="AU40" s="23186" t="s">
        <v>506</v>
      </c>
      <c r="AV40" s="23187" t="s">
        <v>507</v>
      </c>
      <c r="AW40" s="23188"/>
      <c r="AX40" s="23187" t="s">
        <v>523</v>
      </c>
      <c r="AY40" s="23189"/>
      <c r="AZ40" s="23188"/>
      <c r="BA40" s="23190"/>
      <c r="BB40" s="23185" t="s">
        <v>505</v>
      </c>
      <c r="BC40" s="23186" t="s">
        <v>506</v>
      </c>
      <c r="BD40" s="23187" t="s">
        <v>507</v>
      </c>
      <c r="BE40" s="23188"/>
      <c r="BF40" s="23187" t="s">
        <v>523</v>
      </c>
      <c r="BG40" s="23189"/>
      <c r="BH40" s="23188"/>
      <c r="BI40" s="23190"/>
      <c r="BJ40" s="23185" t="s">
        <v>505</v>
      </c>
      <c r="BK40" s="23186" t="s">
        <v>506</v>
      </c>
      <c r="BL40" s="23187" t="s">
        <v>507</v>
      </c>
      <c r="BM40" s="23188"/>
      <c r="BN40" s="23187" t="s">
        <v>523</v>
      </c>
      <c r="BO40" s="23189"/>
      <c r="BP40" s="23188"/>
      <c r="BQ40" s="23190"/>
      <c r="BR40" s="2973"/>
      <c r="BS40" s="2819"/>
      <c r="BY40" s="1847">
        <v>34</v>
      </c>
    </row>
    <row customHeight="1" ht="35.699999999999996">
      <c r="A41" s="2062"/>
      <c r="B41" s="2062" t="s">
        <v>143</v>
      </c>
      <c r="C41" s="2062" t="s">
        <v>144</v>
      </c>
      <c r="D41" s="2062" t="s">
        <v>145</v>
      </c>
      <c r="E41" s="2056" t="s">
        <v>509</v>
      </c>
      <c r="F41" s="2056" t="s">
        <v>510</v>
      </c>
      <c r="G41" s="2056" t="s">
        <v>511</v>
      </c>
      <c r="H41" s="2056" t="s">
        <v>512</v>
      </c>
      <c r="I41" s="2056" t="s">
        <v>513</v>
      </c>
      <c r="J41" s="2056" t="s">
        <v>514</v>
      </c>
      <c r="K41" s="2056" t="s">
        <v>515</v>
      </c>
      <c r="L41" s="2056" t="s">
        <v>490</v>
      </c>
      <c r="Q41" s="1068"/>
      <c r="R41" s="1068"/>
      <c r="S41" s="2965"/>
      <c r="T41" s="2901"/>
      <c r="U41" s="994"/>
      <c r="V41" s="2953"/>
      <c r="W41" s="2976"/>
      <c r="X41" s="1914" t="s">
        <v>516</v>
      </c>
      <c r="Y41" s="1914" t="s">
        <v>517</v>
      </c>
      <c r="Z41" s="2030" t="s">
        <v>518</v>
      </c>
      <c r="AA41" s="2962" t="s">
        <v>519</v>
      </c>
      <c r="AB41" s="2963"/>
      <c r="AC41" s="2971"/>
      <c r="AD41" s="2953"/>
      <c r="AE41" s="2976"/>
      <c r="AF41" s="1914" t="s">
        <v>516</v>
      </c>
      <c r="AG41" s="1914" t="s">
        <v>517</v>
      </c>
      <c r="AH41" s="2030" t="s">
        <v>518</v>
      </c>
      <c r="AI41" s="2962" t="s">
        <v>519</v>
      </c>
      <c r="AJ41" s="2963"/>
      <c r="AK41" s="2971"/>
      <c r="AL41" s="23202"/>
      <c r="AM41" s="23203"/>
      <c r="AN41" s="23204" t="s">
        <v>516</v>
      </c>
      <c r="AO41" s="23204" t="s">
        <v>517</v>
      </c>
      <c r="AP41" s="23204" t="s">
        <v>518</v>
      </c>
      <c r="AQ41" s="23205" t="s">
        <v>519</v>
      </c>
      <c r="AR41" s="23206"/>
      <c r="AS41" s="23207"/>
      <c r="AT41" s="23202"/>
      <c r="AU41" s="23203"/>
      <c r="AV41" s="23204" t="s">
        <v>516</v>
      </c>
      <c r="AW41" s="23204" t="s">
        <v>517</v>
      </c>
      <c r="AX41" s="23204" t="s">
        <v>518</v>
      </c>
      <c r="AY41" s="23205" t="s">
        <v>519</v>
      </c>
      <c r="AZ41" s="23206"/>
      <c r="BA41" s="23207"/>
      <c r="BB41" s="23202"/>
      <c r="BC41" s="23203"/>
      <c r="BD41" s="23204" t="s">
        <v>516</v>
      </c>
      <c r="BE41" s="23204" t="s">
        <v>517</v>
      </c>
      <c r="BF41" s="23204" t="s">
        <v>518</v>
      </c>
      <c r="BG41" s="23205" t="s">
        <v>519</v>
      </c>
      <c r="BH41" s="23206"/>
      <c r="BI41" s="23207"/>
      <c r="BJ41" s="23202"/>
      <c r="BK41" s="23203"/>
      <c r="BL41" s="23204" t="s">
        <v>516</v>
      </c>
      <c r="BM41" s="23204" t="s">
        <v>517</v>
      </c>
      <c r="BN41" s="23204" t="s">
        <v>518</v>
      </c>
      <c r="BO41" s="23205" t="s">
        <v>519</v>
      </c>
      <c r="BP41" s="23206"/>
      <c r="BQ41" s="23207"/>
      <c r="BR41" s="2974"/>
      <c r="BS41" s="2819"/>
      <c r="BY41" s="1847">
        <v>34</v>
      </c>
    </row>
    <row s="61193" customFormat="1" customHeight="1" ht="11.25" hidden="1">
      <c r="A42" s="2062"/>
      <c r="B42" s="2062"/>
      <c r="C42" s="2062"/>
      <c r="D42" s="2062"/>
      <c r="E42" s="2062"/>
      <c r="F42" s="2062"/>
      <c r="G42" s="2062"/>
      <c r="H42" s="2062"/>
      <c r="I42" s="2062"/>
      <c r="J42" s="2062"/>
      <c r="K42" s="2062"/>
      <c r="L42" s="2056"/>
      <c r="M42" s="2054"/>
      <c r="N42" s="2054"/>
      <c r="O42" s="2054"/>
      <c r="P42" s="1938"/>
      <c r="Q42" s="1939"/>
      <c r="R42" s="1946">
        <v>1</v>
      </c>
      <c r="S42" s="1969" t="s">
        <v>118</v>
      </c>
      <c r="T42" s="1947" t="s">
        <v>103</v>
      </c>
      <c r="U42" s="1937" t="str">
        <f>OFFSET(U42,0,-1)</f>
        <v>2</v>
      </c>
      <c r="V42" s="2027">
        <f>OFFSET(V42,0,-1)+1</f>
        <v>3</v>
      </c>
      <c r="W42" s="2027"/>
      <c r="X42" s="2027">
        <f>OFFSET(X42,0,-1)+1</f>
        <v>1</v>
      </c>
      <c r="Y42" s="2027">
        <f>OFFSET(Y42,0,-1)+1</f>
        <v>2</v>
      </c>
      <c r="Z42" s="2027">
        <f>OFFSET(Z42,0,-1)+1</f>
        <v>3</v>
      </c>
      <c r="AA42" s="2964">
        <f>OFFSET(AA42,0,-1)+1</f>
        <v>4</v>
      </c>
      <c r="AB42" s="2964"/>
      <c r="AC42" s="2027">
        <f>OFFSET(AC42,0,-2)+1</f>
        <v>5</v>
      </c>
      <c r="AD42" s="2027">
        <f>OFFSET(AD42,0,-1)+1</f>
        <v>6</v>
      </c>
      <c r="AE42" s="2027"/>
      <c r="AF42" s="2027">
        <f>OFFSET(AF42,0,-1)+1</f>
        <v>1</v>
      </c>
      <c r="AG42" s="2027">
        <f>OFFSET(AG42,0,-1)+1</f>
        <v>2</v>
      </c>
      <c r="AH42" s="2027">
        <f>OFFSET(AH42,0,-1)+1</f>
        <v>3</v>
      </c>
      <c r="AI42" s="2964">
        <f>OFFSET(AI42,0,-1)+1</f>
        <v>4</v>
      </c>
      <c r="AJ42" s="2964"/>
      <c r="AK42" s="2027">
        <f>OFFSET(AK42,0,-2)+1</f>
        <v>5</v>
      </c>
      <c r="AL42" s="23218">
        <f>OFFSET(AL42,0,-1)+1</f>
        <v>6</v>
      </c>
      <c r="AM42" s="23218"/>
      <c r="AN42" s="23218">
        <f>OFFSET(AN42,0,-1)+1</f>
        <v>1</v>
      </c>
      <c r="AO42" s="23218">
        <f>OFFSET(AO42,0,-1)+1</f>
        <v>2</v>
      </c>
      <c r="AP42" s="23218">
        <f>OFFSET(AP42,0,-1)+1</f>
        <v>3</v>
      </c>
      <c r="AQ42" s="23218">
        <f>OFFSET(AQ42,0,-1)+1</f>
        <v>4</v>
      </c>
      <c r="AR42" s="23218"/>
      <c r="AS42" s="23218">
        <f>OFFSET(AS42,0,-2)+1</f>
        <v>5</v>
      </c>
      <c r="AT42" s="23218">
        <f>OFFSET(AT42,0,-1)+1</f>
        <v>6</v>
      </c>
      <c r="AU42" s="23218"/>
      <c r="AV42" s="23218">
        <f>OFFSET(AV42,0,-1)+1</f>
        <v>1</v>
      </c>
      <c r="AW42" s="23218">
        <f>OFFSET(AW42,0,-1)+1</f>
        <v>2</v>
      </c>
      <c r="AX42" s="23218">
        <f>OFFSET(AX42,0,-1)+1</f>
        <v>3</v>
      </c>
      <c r="AY42" s="23218">
        <f>OFFSET(AY42,0,-1)+1</f>
        <v>4</v>
      </c>
      <c r="AZ42" s="23218"/>
      <c r="BA42" s="23218">
        <f>OFFSET(BA42,0,-2)+1</f>
        <v>5</v>
      </c>
      <c r="BB42" s="23218">
        <f>OFFSET(BB42,0,-1)+1</f>
        <v>6</v>
      </c>
      <c r="BC42" s="23218"/>
      <c r="BD42" s="23218">
        <f>OFFSET(BD42,0,-1)+1</f>
        <v>1</v>
      </c>
      <c r="BE42" s="23218">
        <f>OFFSET(BE42,0,-1)+1</f>
        <v>2</v>
      </c>
      <c r="BF42" s="23218">
        <f>OFFSET(BF42,0,-1)+1</f>
        <v>3</v>
      </c>
      <c r="BG42" s="23218">
        <f>OFFSET(BG42,0,-1)+1</f>
        <v>4</v>
      </c>
      <c r="BH42" s="23218"/>
      <c r="BI42" s="23218">
        <f>OFFSET(BI42,0,-2)+1</f>
        <v>5</v>
      </c>
      <c r="BJ42" s="23218">
        <f>OFFSET(BJ42,0,-1)+1</f>
        <v>6</v>
      </c>
      <c r="BK42" s="23218"/>
      <c r="BL42" s="23218">
        <f>OFFSET(BL42,0,-1)+1</f>
        <v>1</v>
      </c>
      <c r="BM42" s="23218">
        <f>OFFSET(BM42,0,-1)+1</f>
        <v>2</v>
      </c>
      <c r="BN42" s="23218">
        <f>OFFSET(BN42,0,-1)+1</f>
        <v>3</v>
      </c>
      <c r="BO42" s="23218">
        <f>OFFSET(BO42,0,-1)+1</f>
        <v>4</v>
      </c>
      <c r="BP42" s="23218"/>
      <c r="BQ42" s="23218">
        <f>OFFSET(BQ42,0,-2)+1</f>
        <v>5</v>
      </c>
      <c r="BR42" s="1937">
        <f>OFFSET(BR42,0,-1)</f>
        <v>5</v>
      </c>
      <c r="BS42" s="2027">
        <f>OFFSET(BS42,0,-1)+1</f>
        <v>6</v>
      </c>
      <c r="BT42" s="1203"/>
      <c r="BU42" s="1203"/>
      <c r="BV42" s="1203"/>
      <c r="BW42" s="1203"/>
      <c r="BX42" s="1203"/>
      <c r="BY42" s="1188">
        <v>0</v>
      </c>
    </row>
    <row customHeight="1" ht="22.049999999999997">
      <c r="A43" s="2055" t="s">
        <v>191</v>
      </c>
      <c r="B43" s="2055"/>
      <c r="C43" s="2055"/>
      <c r="D43" s="2055"/>
      <c r="E43" s="2950">
        <v>1</v>
      </c>
      <c r="F43" s="2055"/>
      <c r="G43" s="2055"/>
      <c r="H43" s="2055"/>
      <c r="I43" s="2055"/>
      <c r="J43" s="2055"/>
      <c r="K43" s="2055"/>
      <c r="L43" s="2056"/>
      <c r="M43" s="2057"/>
      <c r="N43" s="2057"/>
      <c r="O43" s="2057"/>
      <c r="P43" s="1053"/>
      <c r="Q43" s="1052"/>
      <c r="R43" s="1047"/>
      <c r="S43" s="2028">
        <f>INDEX(PT_DIFFERENTIATION_NUM_NTAR,MATCH(A43,PT_DIFFERENTIATION_NTAR_ID,0))</f>
        <v>1</v>
      </c>
      <c r="T43" s="990" t="s">
        <v>131</v>
      </c>
      <c r="U43" s="992"/>
      <c r="V43" s="2934"/>
      <c r="W43" s="2935"/>
      <c r="X43" s="2935"/>
      <c r="Y43" s="2935"/>
      <c r="Z43" s="2935"/>
      <c r="AA43" s="2935"/>
      <c r="AB43" s="2935"/>
      <c r="AC43" s="2936"/>
      <c r="AD43" s="2934" t="str">
        <f>INDEX(PT_DIFFERENTIATION_NTAR,MATCH(A43,PT_DIFFERENTIATION_NTAR_ID,0))</f>
        <v>Тариф на тепловую энергию, поставляемую потребителям АО "ДГК" на территории Артемовского городского округа Приморского края</v>
      </c>
      <c r="AE43" s="2935"/>
      <c r="AF43" s="2935"/>
      <c r="AG43" s="2935"/>
      <c r="AH43" s="2935"/>
      <c r="AI43" s="2935"/>
      <c r="AJ43" s="2935"/>
      <c r="AK43" s="2935"/>
      <c r="AL43" s="22958"/>
      <c r="AM43" s="22959"/>
      <c r="AN43" s="22959"/>
      <c r="AO43" s="22959"/>
      <c r="AP43" s="22959"/>
      <c r="AQ43" s="22959"/>
      <c r="AR43" s="22959"/>
      <c r="AS43" s="22960"/>
      <c r="AT43" s="22958"/>
      <c r="AU43" s="22959"/>
      <c r="AV43" s="22959"/>
      <c r="AW43" s="22959"/>
      <c r="AX43" s="22959"/>
      <c r="AY43" s="22959"/>
      <c r="AZ43" s="22959"/>
      <c r="BA43" s="22960"/>
      <c r="BB43" s="22958"/>
      <c r="BC43" s="22959"/>
      <c r="BD43" s="22959"/>
      <c r="BE43" s="22959"/>
      <c r="BF43" s="22959"/>
      <c r="BG43" s="22959"/>
      <c r="BH43" s="22959"/>
      <c r="BI43" s="22960"/>
      <c r="BJ43" s="22958"/>
      <c r="BK43" s="22959"/>
      <c r="BL43" s="22959"/>
      <c r="BM43" s="22959"/>
      <c r="BN43" s="22959"/>
      <c r="BO43" s="22959"/>
      <c r="BP43" s="22959"/>
      <c r="BQ43" s="22960"/>
      <c r="BR43" s="2936"/>
      <c r="BS43" s="195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1192"/>
      <c r="BV43" s="1192" t="str">
        <f>IF(T43="","",T43)</f>
        <v>Наименование тарифа</v>
      </c>
      <c r="BW43" s="1192"/>
      <c r="BX43" s="1192"/>
      <c r="BY43" s="1847">
        <v>21</v>
      </c>
    </row>
    <row customHeight="1" ht="22.049999999999997">
      <c r="A44" s="2055" t="s">
        <v>191</v>
      </c>
      <c r="B44" s="2055" t="s">
        <v>192</v>
      </c>
      <c r="C44" s="2055"/>
      <c r="D44" s="2055"/>
      <c r="E44" s="2951"/>
      <c r="F44" s="2950">
        <v>1</v>
      </c>
      <c r="G44" s="2055"/>
      <c r="H44" s="2055"/>
      <c r="I44" s="2055"/>
      <c r="J44" s="2055"/>
      <c r="K44" s="2055"/>
      <c r="L44" s="2056"/>
      <c r="M44" s="2057"/>
      <c r="N44" s="2057"/>
      <c r="O44" s="2057"/>
      <c r="P44" s="2024"/>
      <c r="Q44" s="1044"/>
      <c r="R44" s="1045"/>
      <c r="S44" s="2028" t="str">
        <f>INDEX(PT_DIFFERENTIATION_NUM_TER,MATCH(B44,PT_DIFFERENTIATION_TER_ID,0))</f>
        <v>1.1</v>
      </c>
      <c r="T44" s="1000" t="s">
        <v>472</v>
      </c>
      <c r="U44" s="992"/>
      <c r="V44" s="2934"/>
      <c r="W44" s="2935"/>
      <c r="X44" s="2935"/>
      <c r="Y44" s="2935"/>
      <c r="Z44" s="2935"/>
      <c r="AA44" s="2935"/>
      <c r="AB44" s="2935"/>
      <c r="AC44" s="2936"/>
      <c r="AD44" s="2934" t="str">
        <f>INDEX(PT_DIFFERENTIATION_TER,MATCH(B44,PT_DIFFERENTIATION_TER_ID,0))</f>
        <v>Территория 1</v>
      </c>
      <c r="AE44" s="2935"/>
      <c r="AF44" s="2935"/>
      <c r="AG44" s="2935"/>
      <c r="AH44" s="2935"/>
      <c r="AI44" s="2935"/>
      <c r="AJ44" s="2935"/>
      <c r="AK44" s="2935"/>
      <c r="AL44" s="22958"/>
      <c r="AM44" s="22959"/>
      <c r="AN44" s="22959"/>
      <c r="AO44" s="22959"/>
      <c r="AP44" s="22959"/>
      <c r="AQ44" s="22959"/>
      <c r="AR44" s="22959"/>
      <c r="AS44" s="22960"/>
      <c r="AT44" s="22958"/>
      <c r="AU44" s="22959"/>
      <c r="AV44" s="22959"/>
      <c r="AW44" s="22959"/>
      <c r="AX44" s="22959"/>
      <c r="AY44" s="22959"/>
      <c r="AZ44" s="22959"/>
      <c r="BA44" s="22960"/>
      <c r="BB44" s="22958"/>
      <c r="BC44" s="22959"/>
      <c r="BD44" s="22959"/>
      <c r="BE44" s="22959"/>
      <c r="BF44" s="22959"/>
      <c r="BG44" s="22959"/>
      <c r="BH44" s="22959"/>
      <c r="BI44" s="22960"/>
      <c r="BJ44" s="22958"/>
      <c r="BK44" s="22959"/>
      <c r="BL44" s="22959"/>
      <c r="BM44" s="22959"/>
      <c r="BN44" s="22959"/>
      <c r="BO44" s="22959"/>
      <c r="BP44" s="22959"/>
      <c r="BQ44" s="22960"/>
      <c r="BR44" s="2936"/>
      <c r="BS44" s="1950" t="s">
        <v>473</v>
      </c>
      <c r="BU44" s="1192"/>
      <c r="BV44" s="1192" t="str">
        <f>IF(T44="","",T44)</f>
        <v>Территория действия тарифа</v>
      </c>
      <c r="BW44" s="1192"/>
      <c r="BX44" s="1192"/>
      <c r="BY44" s="1847">
        <v>21</v>
      </c>
    </row>
    <row customHeight="1" ht="24">
      <c r="A45" s="2055" t="s">
        <v>191</v>
      </c>
      <c r="B45" s="2055" t="s">
        <v>192</v>
      </c>
      <c r="C45" s="2055" t="s">
        <v>193</v>
      </c>
      <c r="D45" s="2055"/>
      <c r="E45" s="2951"/>
      <c r="F45" s="2951"/>
      <c r="G45" s="2950">
        <v>1</v>
      </c>
      <c r="H45" s="2055"/>
      <c r="I45" s="2055"/>
      <c r="J45" s="2055"/>
      <c r="K45" s="2055"/>
      <c r="L45" s="2056"/>
      <c r="M45" s="2057"/>
      <c r="N45" s="2057"/>
      <c r="O45" s="2057"/>
      <c r="P45" s="1046"/>
      <c r="Q45" s="1044"/>
      <c r="R45" s="1045"/>
      <c r="S45" s="2028" t="str">
        <f>INDEX(PT_DIFFERENTIATION_NUM_CS,MATCH(C45,PT_DIFFERENTIATION_CS_ID,0))</f>
        <v>1.1.1</v>
      </c>
      <c r="T45" s="1001" t="s">
        <v>474</v>
      </c>
      <c r="U45" s="992"/>
      <c r="V45" s="2934"/>
      <c r="W45" s="2935"/>
      <c r="X45" s="2935"/>
      <c r="Y45" s="2935"/>
      <c r="Z45" s="2935"/>
      <c r="AA45" s="2935"/>
      <c r="AB45" s="2935"/>
      <c r="AC45" s="2936"/>
      <c r="AD45" s="2934" t="str">
        <f>INDEX(PT_DIFFERENTIATION_CS,MATCH(C45,PT_DIFFERENTIATION_CS_ID,0))</f>
        <v>без дифференциации</v>
      </c>
      <c r="AE45" s="2935"/>
      <c r="AF45" s="2935"/>
      <c r="AG45" s="2935"/>
      <c r="AH45" s="2935"/>
      <c r="AI45" s="2935"/>
      <c r="AJ45" s="2935"/>
      <c r="AK45" s="2935"/>
      <c r="AL45" s="22958"/>
      <c r="AM45" s="22959"/>
      <c r="AN45" s="22959"/>
      <c r="AO45" s="22959"/>
      <c r="AP45" s="22959"/>
      <c r="AQ45" s="22959"/>
      <c r="AR45" s="22959"/>
      <c r="AS45" s="22960"/>
      <c r="AT45" s="22958"/>
      <c r="AU45" s="22959"/>
      <c r="AV45" s="22959"/>
      <c r="AW45" s="22959"/>
      <c r="AX45" s="22959"/>
      <c r="AY45" s="22959"/>
      <c r="AZ45" s="22959"/>
      <c r="BA45" s="22960"/>
      <c r="BB45" s="22958"/>
      <c r="BC45" s="22959"/>
      <c r="BD45" s="22959"/>
      <c r="BE45" s="22959"/>
      <c r="BF45" s="22959"/>
      <c r="BG45" s="22959"/>
      <c r="BH45" s="22959"/>
      <c r="BI45" s="22960"/>
      <c r="BJ45" s="22958"/>
      <c r="BK45" s="22959"/>
      <c r="BL45" s="22959"/>
      <c r="BM45" s="22959"/>
      <c r="BN45" s="22959"/>
      <c r="BO45" s="22959"/>
      <c r="BP45" s="22959"/>
      <c r="BQ45" s="22960"/>
      <c r="BR45" s="2936"/>
      <c r="BS45" s="1950" t="s">
        <v>475</v>
      </c>
      <c r="BU45" s="1192"/>
      <c r="BV45" s="1192" t="str">
        <f>IF(T45="","",T45)</f>
        <v>Наименование системы теплоснабжения </v>
      </c>
      <c r="BW45" s="1192"/>
      <c r="BX45" s="1192"/>
      <c r="BY45" s="1847">
        <v>23</v>
      </c>
    </row>
    <row customHeight="1" ht="22.049999999999997">
      <c r="A46" s="2055" t="s">
        <v>191</v>
      </c>
      <c r="B46" s="2055" t="s">
        <v>192</v>
      </c>
      <c r="C46" s="2055" t="s">
        <v>193</v>
      </c>
      <c r="D46" s="2055" t="s">
        <v>194</v>
      </c>
      <c r="E46" s="2951"/>
      <c r="F46" s="2951"/>
      <c r="G46" s="2951"/>
      <c r="H46" s="2950">
        <v>1</v>
      </c>
      <c r="I46" s="2055"/>
      <c r="J46" s="2055"/>
      <c r="K46" s="2055"/>
      <c r="L46" s="2056"/>
      <c r="M46" s="2057"/>
      <c r="N46" s="2057"/>
      <c r="O46" s="2057"/>
      <c r="P46" s="1046"/>
      <c r="Q46" s="1044"/>
      <c r="R46" s="1045"/>
      <c r="S46" s="2028" t="str">
        <f>INDEX(PT_DIFFERENTIATION_NUM_IST_TE,MATCH(D46,PT_DIFFERENTIATION_IST_TE_ID,0))</f>
        <v>1.1.1.1</v>
      </c>
      <c r="T46" s="1002" t="s">
        <v>476</v>
      </c>
      <c r="U46" s="992"/>
      <c r="V46" s="2934"/>
      <c r="W46" s="2935"/>
      <c r="X46" s="2935"/>
      <c r="Y46" s="2935"/>
      <c r="Z46" s="2935"/>
      <c r="AA46" s="2935"/>
      <c r="AB46" s="2935"/>
      <c r="AC46" s="2936"/>
      <c r="AD46" s="2934" t="str">
        <f>INDEX(PT_DIFFERENTIATION_IST_TE,MATCH(D46,PT_DIFFERENTIATION_IST_TE_ID,0))</f>
        <v>без дифференциации</v>
      </c>
      <c r="AE46" s="2935"/>
      <c r="AF46" s="2935"/>
      <c r="AG46" s="2935"/>
      <c r="AH46" s="2935"/>
      <c r="AI46" s="2935"/>
      <c r="AJ46" s="2935"/>
      <c r="AK46" s="2935"/>
      <c r="AL46" s="22958"/>
      <c r="AM46" s="22959"/>
      <c r="AN46" s="22959"/>
      <c r="AO46" s="22959"/>
      <c r="AP46" s="22959"/>
      <c r="AQ46" s="22959"/>
      <c r="AR46" s="22959"/>
      <c r="AS46" s="22960"/>
      <c r="AT46" s="22958"/>
      <c r="AU46" s="22959"/>
      <c r="AV46" s="22959"/>
      <c r="AW46" s="22959"/>
      <c r="AX46" s="22959"/>
      <c r="AY46" s="22959"/>
      <c r="AZ46" s="22959"/>
      <c r="BA46" s="22960"/>
      <c r="BB46" s="22958"/>
      <c r="BC46" s="22959"/>
      <c r="BD46" s="22959"/>
      <c r="BE46" s="22959"/>
      <c r="BF46" s="22959"/>
      <c r="BG46" s="22959"/>
      <c r="BH46" s="22959"/>
      <c r="BI46" s="22960"/>
      <c r="BJ46" s="22958"/>
      <c r="BK46" s="22959"/>
      <c r="BL46" s="22959"/>
      <c r="BM46" s="22959"/>
      <c r="BN46" s="22959"/>
      <c r="BO46" s="22959"/>
      <c r="BP46" s="22959"/>
      <c r="BQ46" s="22960"/>
      <c r="BR46" s="2936"/>
      <c r="BS46" s="1950" t="s">
        <v>477</v>
      </c>
      <c r="BU46" s="1192"/>
      <c r="BV46" s="1192" t="str">
        <f>IF(T46="","",T46)</f>
        <v>Источник тепловой энергии  </v>
      </c>
      <c r="BW46" s="1192"/>
      <c r="BX46" s="1192"/>
      <c r="BY46" s="1847">
        <v>21</v>
      </c>
    </row>
    <row customHeight="1" ht="49.5">
      <c r="A47" s="2055" t="s">
        <v>191</v>
      </c>
      <c r="B47" s="2055" t="s">
        <v>192</v>
      </c>
      <c r="C47" s="2055" t="s">
        <v>193</v>
      </c>
      <c r="D47" s="2055" t="s">
        <v>194</v>
      </c>
      <c r="E47" s="2951"/>
      <c r="F47" s="2951"/>
      <c r="G47" s="2951"/>
      <c r="H47" s="2951"/>
      <c r="I47" s="2948" t="str">
        <f>S46&amp;".1"</f>
        <v>1.1.1.1.1</v>
      </c>
      <c r="J47" s="2055"/>
      <c r="K47" s="2055"/>
      <c r="L47" s="2056" t="s">
        <v>478</v>
      </c>
      <c r="P47" s="2949">
        <v>1</v>
      </c>
      <c r="Q47" s="2023"/>
      <c r="R47" s="1048"/>
      <c r="S47" s="2028" t="str">
        <f>$I47</f>
        <v>1.1.1.1.1</v>
      </c>
      <c r="T47" s="977" t="s">
        <v>479</v>
      </c>
      <c r="U47" s="992"/>
      <c r="V47" s="2937"/>
      <c r="W47" s="2938"/>
      <c r="X47" s="2938"/>
      <c r="Y47" s="2938"/>
      <c r="Z47" s="2938"/>
      <c r="AA47" s="2938"/>
      <c r="AB47" s="2938"/>
      <c r="AC47" s="2939"/>
      <c r="AD47" s="2937" t="s">
        <v>521</v>
      </c>
      <c r="AE47" s="2938"/>
      <c r="AF47" s="2938"/>
      <c r="AG47" s="2938"/>
      <c r="AH47" s="2938"/>
      <c r="AI47" s="2938"/>
      <c r="AJ47" s="2938"/>
      <c r="AK47" s="2938"/>
      <c r="AL47" s="22979"/>
      <c r="AM47" s="22980"/>
      <c r="AN47" s="22980"/>
      <c r="AO47" s="22980"/>
      <c r="AP47" s="22980"/>
      <c r="AQ47" s="22980"/>
      <c r="AR47" s="22980"/>
      <c r="AS47" s="22981"/>
      <c r="AT47" s="22979"/>
      <c r="AU47" s="22980"/>
      <c r="AV47" s="22980"/>
      <c r="AW47" s="22980"/>
      <c r="AX47" s="22980"/>
      <c r="AY47" s="22980"/>
      <c r="AZ47" s="22980"/>
      <c r="BA47" s="22981"/>
      <c r="BB47" s="22979"/>
      <c r="BC47" s="22980"/>
      <c r="BD47" s="22980"/>
      <c r="BE47" s="22980"/>
      <c r="BF47" s="22980"/>
      <c r="BG47" s="22980"/>
      <c r="BH47" s="22980"/>
      <c r="BI47" s="22981"/>
      <c r="BJ47" s="22979"/>
      <c r="BK47" s="22980"/>
      <c r="BL47" s="22980"/>
      <c r="BM47" s="22980"/>
      <c r="BN47" s="22980"/>
      <c r="BO47" s="22980"/>
      <c r="BP47" s="22980"/>
      <c r="BQ47" s="22981"/>
      <c r="BR47" s="2939"/>
      <c r="BS47" s="1950" t="s">
        <v>480</v>
      </c>
      <c r="BU47" s="1192"/>
      <c r="BV47" s="1192" t="str">
        <f>IF(T47="","",T47)</f>
        <v>Схема подключения теплопотребляющей установки к коллектору источника тепловой энергии</v>
      </c>
      <c r="BW47" s="1192"/>
      <c r="BX47" s="1192"/>
      <c r="BY47" s="1847">
        <v>47</v>
      </c>
    </row>
    <row customHeight="1" ht="22.049999999999997">
      <c r="A48" s="2055" t="s">
        <v>191</v>
      </c>
      <c r="B48" s="2055" t="s">
        <v>192</v>
      </c>
      <c r="C48" s="2055" t="s">
        <v>193</v>
      </c>
      <c r="D48" s="2055" t="s">
        <v>194</v>
      </c>
      <c r="E48" s="2951"/>
      <c r="F48" s="2951"/>
      <c r="G48" s="2951"/>
      <c r="H48" s="2951"/>
      <c r="I48" s="2978"/>
      <c r="J48" s="2948" t="str">
        <f>I47&amp;".1"</f>
        <v>1.1.1.1.1.1</v>
      </c>
      <c r="K48" s="2055"/>
      <c r="L48" s="2056" t="s">
        <v>481</v>
      </c>
      <c r="P48" s="2949"/>
      <c r="Q48" s="2949">
        <v>1</v>
      </c>
      <c r="R48" s="1049"/>
      <c r="S48" s="2028" t="str">
        <f>$J48</f>
        <v>1.1.1.1.1.1</v>
      </c>
      <c r="T48" s="978" t="s">
        <v>482</v>
      </c>
      <c r="U48" s="992"/>
      <c r="V48" s="2937"/>
      <c r="W48" s="2938"/>
      <c r="X48" s="2938"/>
      <c r="Y48" s="2938"/>
      <c r="Z48" s="2938"/>
      <c r="AA48" s="2938"/>
      <c r="AB48" s="2938"/>
      <c r="AC48" s="2939"/>
      <c r="AD48" s="2937" t="s">
        <v>521</v>
      </c>
      <c r="AE48" s="2938"/>
      <c r="AF48" s="2938"/>
      <c r="AG48" s="2938"/>
      <c r="AH48" s="2938"/>
      <c r="AI48" s="2938"/>
      <c r="AJ48" s="2938"/>
      <c r="AK48" s="2938"/>
      <c r="AL48" s="22979"/>
      <c r="AM48" s="22980"/>
      <c r="AN48" s="22980"/>
      <c r="AO48" s="22980"/>
      <c r="AP48" s="22980"/>
      <c r="AQ48" s="22980"/>
      <c r="AR48" s="22980"/>
      <c r="AS48" s="22981"/>
      <c r="AT48" s="22979"/>
      <c r="AU48" s="22980"/>
      <c r="AV48" s="22980"/>
      <c r="AW48" s="22980"/>
      <c r="AX48" s="22980"/>
      <c r="AY48" s="22980"/>
      <c r="AZ48" s="22980"/>
      <c r="BA48" s="22981"/>
      <c r="BB48" s="22979"/>
      <c r="BC48" s="22980"/>
      <c r="BD48" s="22980"/>
      <c r="BE48" s="22980"/>
      <c r="BF48" s="22980"/>
      <c r="BG48" s="22980"/>
      <c r="BH48" s="22980"/>
      <c r="BI48" s="22981"/>
      <c r="BJ48" s="22979"/>
      <c r="BK48" s="22980"/>
      <c r="BL48" s="22980"/>
      <c r="BM48" s="22980"/>
      <c r="BN48" s="22980"/>
      <c r="BO48" s="22980"/>
      <c r="BP48" s="22980"/>
      <c r="BQ48" s="22981"/>
      <c r="BR48" s="2939"/>
      <c r="BS48" s="1950" t="s">
        <v>483</v>
      </c>
      <c r="BU48" s="1192"/>
      <c r="BV48" s="1192" t="str">
        <f>IF(T48="","",T48)</f>
        <v>Группа потребителей</v>
      </c>
      <c r="BW48" s="1192"/>
      <c r="BX48" s="1192"/>
      <c r="BY48" s="1847">
        <v>21</v>
      </c>
    </row>
    <row customHeight="1" ht="22.049999999999997">
      <c r="A49" s="2055" t="s">
        <v>191</v>
      </c>
      <c r="B49" s="2055" t="s">
        <v>192</v>
      </c>
      <c r="C49" s="2055" t="s">
        <v>193</v>
      </c>
      <c r="D49" s="2055" t="s">
        <v>194</v>
      </c>
      <c r="E49" s="2951"/>
      <c r="F49" s="2951"/>
      <c r="G49" s="2951"/>
      <c r="H49" s="2951"/>
      <c r="I49" s="2978"/>
      <c r="J49" s="2978"/>
      <c r="K49" s="2948" t="str">
        <f>J48&amp;".1"</f>
        <v>1.1.1.1.1.1.1</v>
      </c>
      <c r="L49" s="2056" t="s">
        <v>484</v>
      </c>
      <c r="P49" s="2949"/>
      <c r="Q49" s="2949"/>
      <c r="R49" s="1049">
        <v>1</v>
      </c>
      <c r="S49" s="2028" t="str">
        <f>$K49</f>
        <v>1.1.1.1.1.1.1</v>
      </c>
      <c r="T49" s="2039" t="s">
        <v>522</v>
      </c>
      <c r="U49" s="992"/>
      <c r="V49" s="1443"/>
      <c r="W49" s="1017"/>
      <c r="X49" s="1443"/>
      <c r="Y49" s="1949"/>
      <c r="Z49" s="2957"/>
      <c r="AA49" s="2799" t="s">
        <v>67</v>
      </c>
      <c r="AB49" s="2957"/>
      <c r="AC49" s="2799" t="s">
        <v>67</v>
      </c>
      <c r="AD49" s="1443">
        <v>6027.74</v>
      </c>
      <c r="AE49" s="1017"/>
      <c r="AF49" s="1443">
        <v>1368.41</v>
      </c>
      <c r="AG49" s="1949">
        <v>792.378</v>
      </c>
      <c r="AH49" s="22994">
        <v>45292</v>
      </c>
      <c r="AI49" s="2799" t="s">
        <v>67</v>
      </c>
      <c r="AJ49" s="23222">
        <v>45657</v>
      </c>
      <c r="AK49" s="2799" t="s">
        <v>67</v>
      </c>
      <c r="AL49" s="22991">
        <v>7120.86</v>
      </c>
      <c r="AM49" s="22992"/>
      <c r="AN49" s="22991">
        <v>1389.7</v>
      </c>
      <c r="AO49" s="22993">
        <v>931.14552</v>
      </c>
      <c r="AP49" s="22994">
        <v>45658</v>
      </c>
      <c r="AQ49" s="22349" t="s">
        <v>67</v>
      </c>
      <c r="AR49" s="22994">
        <v>46022</v>
      </c>
      <c r="AS49" s="22349" t="s">
        <v>67</v>
      </c>
      <c r="AT49" s="22991">
        <v>6850.44</v>
      </c>
      <c r="AU49" s="22992"/>
      <c r="AV49" s="22991">
        <v>1511.33</v>
      </c>
      <c r="AW49" s="22993">
        <v>756.29392</v>
      </c>
      <c r="AX49" s="22994">
        <v>46023</v>
      </c>
      <c r="AY49" s="22349" t="s">
        <v>67</v>
      </c>
      <c r="AZ49" s="22994">
        <v>46387</v>
      </c>
      <c r="BA49" s="22349" t="s">
        <v>67</v>
      </c>
      <c r="BB49" s="22991">
        <v>5747.85</v>
      </c>
      <c r="BC49" s="22992"/>
      <c r="BD49" s="22991">
        <v>1548.99</v>
      </c>
      <c r="BE49" s="22993">
        <v>714.071</v>
      </c>
      <c r="BF49" s="22994">
        <v>46388</v>
      </c>
      <c r="BG49" s="22349" t="s">
        <v>67</v>
      </c>
      <c r="BH49" s="22994">
        <v>46752</v>
      </c>
      <c r="BI49" s="22349" t="s">
        <v>67</v>
      </c>
      <c r="BJ49" s="22991">
        <v>5886.97</v>
      </c>
      <c r="BK49" s="22992"/>
      <c r="BL49" s="22991">
        <v>1614.13</v>
      </c>
      <c r="BM49" s="22993">
        <v>726.65</v>
      </c>
      <c r="BN49" s="22994">
        <v>46753</v>
      </c>
      <c r="BO49" s="22349" t="s">
        <v>67</v>
      </c>
      <c r="BP49" s="22994">
        <v>47118</v>
      </c>
      <c r="BQ49" s="22349" t="s">
        <v>67</v>
      </c>
      <c r="BR49" s="2040"/>
      <c r="BS49" s="2945" t="s">
        <v>485</v>
      </c>
      <c r="BT49" s="1203">
        <f>STRCHECKDATE(V50:BR50)</f>
      </c>
      <c r="BU49" s="1192"/>
      <c r="BV49" s="1192" t="str">
        <f>IF(T49="","",T49)</f>
        <v>вода</v>
      </c>
      <c r="BW49" s="1192"/>
      <c r="BX49" s="1192"/>
      <c r="BY49" s="1847">
        <v>21</v>
      </c>
    </row>
    <row customHeight="1" ht="1.05">
      <c r="A50" s="2055" t="s">
        <v>191</v>
      </c>
      <c r="B50" s="2055" t="s">
        <v>192</v>
      </c>
      <c r="C50" s="2055" t="s">
        <v>193</v>
      </c>
      <c r="D50" s="2055" t="s">
        <v>194</v>
      </c>
      <c r="E50" s="2951"/>
      <c r="F50" s="2951"/>
      <c r="G50" s="2951"/>
      <c r="H50" s="2951"/>
      <c r="I50" s="2978"/>
      <c r="J50" s="2978"/>
      <c r="K50" s="2948"/>
      <c r="L50" s="2056"/>
      <c r="P50" s="2949"/>
      <c r="Q50" s="2949"/>
      <c r="R50" s="1049"/>
      <c r="S50" s="2034"/>
      <c r="T50" s="992"/>
      <c r="U50" s="992"/>
      <c r="V50" s="1017"/>
      <c r="W50" s="1017"/>
      <c r="X50" s="1017"/>
      <c r="Y50" s="1020" t="str">
        <f>Z49&amp;"-"&amp;AB49</f>
        <v>-</v>
      </c>
      <c r="Z50" s="2958"/>
      <c r="AA50" s="2799"/>
      <c r="AB50" s="2958"/>
      <c r="AC50" s="2799"/>
      <c r="AD50" s="1017"/>
      <c r="AE50" s="1017"/>
      <c r="AF50" s="1017"/>
      <c r="AG50" s="1020" t="str">
        <f>AH49&amp;"-"&amp;AJ49</f>
        <v>45292-45657</v>
      </c>
      <c r="AH50" s="2958"/>
      <c r="AI50" s="2799"/>
      <c r="AJ50" s="2980"/>
      <c r="AK50" s="2799"/>
      <c r="AL50" s="22992"/>
      <c r="AM50" s="22992"/>
      <c r="AN50" s="22992"/>
      <c r="AO50" s="22999" t="str">
        <f>AP49&amp;"-"&amp;AR49</f>
        <v>45658-46022</v>
      </c>
      <c r="AP50" s="23000"/>
      <c r="AQ50" s="22349"/>
      <c r="AR50" s="23000"/>
      <c r="AS50" s="22349"/>
      <c r="AT50" s="22992"/>
      <c r="AU50" s="22992"/>
      <c r="AV50" s="22992"/>
      <c r="AW50" s="22999" t="str">
        <f>AX49&amp;"-"&amp;AZ49</f>
        <v>46023-46387</v>
      </c>
      <c r="AX50" s="23000"/>
      <c r="AY50" s="22349"/>
      <c r="AZ50" s="23000"/>
      <c r="BA50" s="22349"/>
      <c r="BB50" s="22992"/>
      <c r="BC50" s="22992"/>
      <c r="BD50" s="22992"/>
      <c r="BE50" s="22999" t="str">
        <f>BF49&amp;"-"&amp;BH49</f>
        <v>46388-46752</v>
      </c>
      <c r="BF50" s="23000"/>
      <c r="BG50" s="22349"/>
      <c r="BH50" s="23000"/>
      <c r="BI50" s="22349"/>
      <c r="BJ50" s="22992"/>
      <c r="BK50" s="22992"/>
      <c r="BL50" s="22992"/>
      <c r="BM50" s="22999" t="str">
        <f>BN49&amp;"-"&amp;BP49</f>
        <v>46753-47118</v>
      </c>
      <c r="BN50" s="23000"/>
      <c r="BO50" s="22349"/>
      <c r="BP50" s="23000"/>
      <c r="BQ50" s="22349"/>
      <c r="BR50" s="2041"/>
      <c r="BS50" s="2946"/>
      <c r="BU50" s="1192"/>
      <c r="BV50" s="1192" t="str">
        <f>IF(T50="","",T50)</f>
        <v/>
      </c>
      <c r="BW50" s="1192"/>
      <c r="BX50" s="1192"/>
      <c r="BY50" s="1847">
        <v>1</v>
      </c>
    </row>
    <row customHeight="1" ht="11.549999999999999">
      <c r="A51" s="2055" t="s">
        <v>191</v>
      </c>
      <c r="B51" s="2055" t="s">
        <v>192</v>
      </c>
      <c r="C51" s="2055" t="s">
        <v>193</v>
      </c>
      <c r="D51" s="2055" t="s">
        <v>194</v>
      </c>
      <c r="E51" s="2951"/>
      <c r="F51" s="2951"/>
      <c r="G51" s="2951"/>
      <c r="H51" s="2951"/>
      <c r="I51" s="2978"/>
      <c r="J51" s="2948"/>
      <c r="K51" s="2055"/>
      <c r="L51" s="2056"/>
      <c r="P51" s="2949"/>
      <c r="Q51" s="2949"/>
      <c r="R51" s="1048"/>
      <c r="S51" s="1970"/>
      <c r="T51" s="980" t="s">
        <v>486</v>
      </c>
      <c r="U51" s="1059"/>
      <c r="V51" s="1059"/>
      <c r="W51" s="1059"/>
      <c r="X51" s="1059"/>
      <c r="Y51" s="1059"/>
      <c r="Z51" s="1059"/>
      <c r="AA51" s="1059"/>
      <c r="AB51" s="1059"/>
      <c r="AC51" s="1059"/>
      <c r="AD51" s="1059"/>
      <c r="AE51" s="1059"/>
      <c r="AF51" s="1059"/>
      <c r="AG51" s="1059"/>
      <c r="AH51" s="1059"/>
      <c r="AI51" s="1059"/>
      <c r="AJ51" s="1059"/>
      <c r="AK51" s="1059"/>
      <c r="AL51" s="23831"/>
      <c r="AM51" s="23832"/>
      <c r="AN51" s="23833"/>
      <c r="AO51" s="23834"/>
      <c r="AP51" s="23835"/>
      <c r="AQ51" s="23836"/>
      <c r="AR51" s="23837"/>
      <c r="AS51" s="23838"/>
      <c r="AT51" s="23839"/>
      <c r="AU51" s="23840"/>
      <c r="AV51" s="23841"/>
      <c r="AW51" s="23842"/>
      <c r="AX51" s="23843"/>
      <c r="AY51" s="23844"/>
      <c r="AZ51" s="23845"/>
      <c r="BA51" s="23846"/>
      <c r="BB51" s="23847"/>
      <c r="BC51" s="23848"/>
      <c r="BD51" s="23849"/>
      <c r="BE51" s="23850"/>
      <c r="BF51" s="23851"/>
      <c r="BG51" s="23852"/>
      <c r="BH51" s="23853"/>
      <c r="BI51" s="23854"/>
      <c r="BJ51" s="23855"/>
      <c r="BK51" s="23856"/>
      <c r="BL51" s="23857"/>
      <c r="BM51" s="23858"/>
      <c r="BN51" s="23859"/>
      <c r="BO51" s="23860"/>
      <c r="BP51" s="23861"/>
      <c r="BQ51" s="23862"/>
      <c r="BR51" s="1016"/>
      <c r="BS51" s="2947"/>
      <c r="BU51" s="1192"/>
      <c r="BV51" s="1192" t="str">
        <f>IF(T51="","",T51)</f>
        <v>Добавить вид теплоносителя (параметры теплоносителя)</v>
      </c>
      <c r="BW51" s="1192"/>
      <c r="BX51" s="1192"/>
      <c r="BY51" s="1847">
        <v>11</v>
      </c>
    </row>
    <row customHeight="1" ht="11.549999999999999">
      <c r="A52" s="2055" t="s">
        <v>191</v>
      </c>
      <c r="B52" s="2055" t="s">
        <v>192</v>
      </c>
      <c r="C52" s="2055" t="s">
        <v>193</v>
      </c>
      <c r="D52" s="2055" t="s">
        <v>194</v>
      </c>
      <c r="E52" s="2951"/>
      <c r="F52" s="2951"/>
      <c r="G52" s="2951"/>
      <c r="H52" s="2951"/>
      <c r="I52" s="2948"/>
      <c r="J52" s="2055"/>
      <c r="K52" s="2055"/>
      <c r="L52" s="2056"/>
      <c r="P52" s="2949"/>
      <c r="Q52" s="2023"/>
      <c r="R52" s="1048"/>
      <c r="S52" s="1970"/>
      <c r="T52" s="979" t="s">
        <v>487</v>
      </c>
      <c r="U52" s="1059"/>
      <c r="V52" s="1059"/>
      <c r="W52" s="1059"/>
      <c r="X52" s="1059"/>
      <c r="Y52" s="1059"/>
      <c r="Z52" s="1059"/>
      <c r="AA52" s="1059"/>
      <c r="AB52" s="1059"/>
      <c r="AC52" s="1058"/>
      <c r="AD52" s="1059"/>
      <c r="AE52" s="1059"/>
      <c r="AF52" s="1059"/>
      <c r="AG52" s="1059"/>
      <c r="AH52" s="1059"/>
      <c r="AI52" s="1059"/>
      <c r="AJ52" s="1059"/>
      <c r="AK52" s="1058"/>
      <c r="AL52" s="23863"/>
      <c r="AM52" s="23864"/>
      <c r="AN52" s="23865"/>
      <c r="AO52" s="23866"/>
      <c r="AP52" s="23867"/>
      <c r="AQ52" s="23868"/>
      <c r="AR52" s="23869"/>
      <c r="AS52" s="23870"/>
      <c r="AT52" s="23871"/>
      <c r="AU52" s="23872"/>
      <c r="AV52" s="23873"/>
      <c r="AW52" s="23874"/>
      <c r="AX52" s="23875"/>
      <c r="AY52" s="23876"/>
      <c r="AZ52" s="23877"/>
      <c r="BA52" s="23878"/>
      <c r="BB52" s="23879"/>
      <c r="BC52" s="23880"/>
      <c r="BD52" s="23881"/>
      <c r="BE52" s="23882"/>
      <c r="BF52" s="23883"/>
      <c r="BG52" s="23884"/>
      <c r="BH52" s="23885"/>
      <c r="BI52" s="23886"/>
      <c r="BJ52" s="23887"/>
      <c r="BK52" s="23888"/>
      <c r="BL52" s="23889"/>
      <c r="BM52" s="23890"/>
      <c r="BN52" s="23891"/>
      <c r="BO52" s="23892"/>
      <c r="BP52" s="23893"/>
      <c r="BQ52" s="23894"/>
      <c r="BR52" s="1059"/>
      <c r="BS52" s="995"/>
      <c r="BU52" s="1192"/>
      <c r="BV52" s="1192" t="str">
        <f>IF(T52="","",T52)</f>
        <v>Добавить группу потребителей</v>
      </c>
      <c r="BW52" s="1192"/>
      <c r="BX52" s="1192"/>
      <c r="BY52" s="1847">
        <v>11</v>
      </c>
    </row>
    <row customHeight="1" ht="14.699999999999998">
      <c r="A53" s="2055" t="s">
        <v>191</v>
      </c>
      <c r="B53" s="2055" t="s">
        <v>192</v>
      </c>
      <c r="C53" s="2055" t="s">
        <v>193</v>
      </c>
      <c r="D53" s="2055" t="s">
        <v>194</v>
      </c>
      <c r="E53" s="2951"/>
      <c r="F53" s="2951"/>
      <c r="G53" s="2951"/>
      <c r="H53" s="2950"/>
      <c r="I53" s="2055"/>
      <c r="J53" s="2055"/>
      <c r="K53" s="2055"/>
      <c r="L53" s="2056"/>
      <c r="M53" s="2057"/>
      <c r="N53" s="2057"/>
      <c r="O53" s="1229"/>
      <c r="P53" s="1052"/>
      <c r="Q53" s="1067"/>
      <c r="R53" s="1047"/>
      <c r="S53" s="1970"/>
      <c r="T53" s="1057" t="s">
        <v>488</v>
      </c>
      <c r="U53" s="1059"/>
      <c r="V53" s="1059"/>
      <c r="W53" s="1059"/>
      <c r="X53" s="1059"/>
      <c r="Y53" s="1059"/>
      <c r="Z53" s="1059"/>
      <c r="AA53" s="1059"/>
      <c r="AB53" s="1059"/>
      <c r="AC53" s="1058"/>
      <c r="AD53" s="1059"/>
      <c r="AE53" s="1059"/>
      <c r="AF53" s="1059"/>
      <c r="AG53" s="1059"/>
      <c r="AH53" s="1059"/>
      <c r="AI53" s="1059"/>
      <c r="AJ53" s="1059"/>
      <c r="AK53" s="1058"/>
      <c r="AL53" s="23895"/>
      <c r="AM53" s="23896"/>
      <c r="AN53" s="23897"/>
      <c r="AO53" s="23898"/>
      <c r="AP53" s="23899"/>
      <c r="AQ53" s="23900"/>
      <c r="AR53" s="23901"/>
      <c r="AS53" s="23902"/>
      <c r="AT53" s="23903"/>
      <c r="AU53" s="23904"/>
      <c r="AV53" s="23905"/>
      <c r="AW53" s="23906"/>
      <c r="AX53" s="23907"/>
      <c r="AY53" s="23908"/>
      <c r="AZ53" s="23909"/>
      <c r="BA53" s="23910"/>
      <c r="BB53" s="23911"/>
      <c r="BC53" s="23912"/>
      <c r="BD53" s="23913"/>
      <c r="BE53" s="23914"/>
      <c r="BF53" s="23915"/>
      <c r="BG53" s="23916"/>
      <c r="BH53" s="23917"/>
      <c r="BI53" s="23918"/>
      <c r="BJ53" s="23919"/>
      <c r="BK53" s="23920"/>
      <c r="BL53" s="23921"/>
      <c r="BM53" s="23922"/>
      <c r="BN53" s="23923"/>
      <c r="BO53" s="23924"/>
      <c r="BP53" s="23925"/>
      <c r="BQ53" s="23926"/>
      <c r="BR53" s="1059"/>
      <c r="BS53" s="995"/>
      <c r="BU53" s="1192"/>
      <c r="BV53" s="1192" t="str">
        <f>IF(T53="","",T53)</f>
        <v>Добавить схему подключения</v>
      </c>
      <c r="BW53" s="1192"/>
      <c r="BX53" s="1192"/>
      <c r="BY53" s="1847">
        <v>14</v>
      </c>
    </row>
    <row s="61695" customFormat="1" customHeight="1" ht="1.05">
      <c r="A54" s="2035" t="s">
        <v>191</v>
      </c>
      <c r="B54" s="2035" t="s">
        <v>192</v>
      </c>
      <c r="C54" s="2035" t="s">
        <v>193</v>
      </c>
      <c r="D54" s="2006"/>
      <c r="E54" s="2951"/>
      <c r="F54" s="2951"/>
      <c r="G54" s="2950"/>
      <c r="H54" s="2006"/>
      <c r="I54" s="2006"/>
      <c r="J54" s="2006"/>
      <c r="K54" s="2006"/>
      <c r="L54" s="2031"/>
      <c r="M54" s="2007"/>
      <c r="N54" s="2007"/>
      <c r="P54" s="2008"/>
      <c r="Q54" s="2009"/>
      <c r="R54" s="2008"/>
      <c r="S54" s="2014"/>
      <c r="T54" s="2017" t="s">
        <v>171</v>
      </c>
      <c r="U54" s="2016"/>
      <c r="V54" s="2016"/>
      <c r="W54" s="2016"/>
      <c r="X54" s="2016"/>
      <c r="Y54" s="2016"/>
      <c r="Z54" s="2016"/>
      <c r="AA54" s="2016"/>
      <c r="AB54" s="2016"/>
      <c r="AC54" s="2016"/>
      <c r="AD54" s="2016"/>
      <c r="AE54" s="2016"/>
      <c r="AF54" s="2016"/>
      <c r="AG54" s="2016"/>
      <c r="AH54" s="2016"/>
      <c r="AI54" s="2016"/>
      <c r="AJ54" s="2016"/>
      <c r="AK54" s="2016"/>
      <c r="AL54" s="23121"/>
      <c r="AM54" s="23121"/>
      <c r="AN54" s="23121"/>
      <c r="AO54" s="23121"/>
      <c r="AP54" s="23121"/>
      <c r="AQ54" s="23121"/>
      <c r="AR54" s="23121"/>
      <c r="AS54" s="23121"/>
      <c r="AT54" s="23121"/>
      <c r="AU54" s="23121"/>
      <c r="AV54" s="23121"/>
      <c r="AW54" s="23121"/>
      <c r="AX54" s="23121"/>
      <c r="AY54" s="23121"/>
      <c r="AZ54" s="23121"/>
      <c r="BA54" s="23121"/>
      <c r="BB54" s="23121"/>
      <c r="BC54" s="23121"/>
      <c r="BD54" s="23121"/>
      <c r="BE54" s="23121"/>
      <c r="BF54" s="23121"/>
      <c r="BG54" s="23121"/>
      <c r="BH54" s="23121"/>
      <c r="BI54" s="23121"/>
      <c r="BJ54" s="23121"/>
      <c r="BK54" s="23121"/>
      <c r="BL54" s="23121"/>
      <c r="BM54" s="23121"/>
      <c r="BN54" s="23121"/>
      <c r="BO54" s="23121"/>
      <c r="BP54" s="23121"/>
      <c r="BQ54" s="23121"/>
      <c r="BR54" s="2016"/>
      <c r="BS54" s="2016"/>
      <c r="BU54" s="1481"/>
      <c r="BV54" s="1481" t="str">
        <f>IF(T54="","",T54)</f>
        <v>Добавить источник для дифференциации</v>
      </c>
      <c r="BW54" s="1481"/>
      <c r="BX54" s="1481"/>
      <c r="BY54" s="1210">
        <v>1</v>
      </c>
    </row>
    <row s="61695" customFormat="1" customHeight="1" ht="1.05">
      <c r="A55" s="2035" t="s">
        <v>191</v>
      </c>
      <c r="B55" s="2035" t="s">
        <v>192</v>
      </c>
      <c r="C55" s="2006"/>
      <c r="D55" s="2006"/>
      <c r="E55" s="2951"/>
      <c r="F55" s="2950"/>
      <c r="G55" s="2006"/>
      <c r="H55" s="2006"/>
      <c r="I55" s="2006"/>
      <c r="J55" s="2006"/>
      <c r="K55" s="2006"/>
      <c r="L55" s="2031"/>
      <c r="M55" s="2013"/>
      <c r="N55" s="2013"/>
      <c r="P55" s="2008"/>
      <c r="Q55" s="2009"/>
      <c r="R55" s="2008"/>
      <c r="S55" s="2014"/>
      <c r="T55" s="2017" t="s">
        <v>172</v>
      </c>
      <c r="U55" s="2016"/>
      <c r="V55" s="2016"/>
      <c r="W55" s="2016"/>
      <c r="X55" s="2016"/>
      <c r="Y55" s="2016"/>
      <c r="Z55" s="2016"/>
      <c r="AA55" s="2016"/>
      <c r="AB55" s="2016"/>
      <c r="AC55" s="2016"/>
      <c r="AD55" s="2016"/>
      <c r="AE55" s="2016"/>
      <c r="AF55" s="2016"/>
      <c r="AG55" s="2016"/>
      <c r="AH55" s="2016"/>
      <c r="AI55" s="2016"/>
      <c r="AJ55" s="2016"/>
      <c r="AK55" s="2016"/>
      <c r="AL55" s="23121"/>
      <c r="AM55" s="23121"/>
      <c r="AN55" s="23121"/>
      <c r="AO55" s="23121"/>
      <c r="AP55" s="23121"/>
      <c r="AQ55" s="23121"/>
      <c r="AR55" s="23121"/>
      <c r="AS55" s="23121"/>
      <c r="AT55" s="23121"/>
      <c r="AU55" s="23121"/>
      <c r="AV55" s="23121"/>
      <c r="AW55" s="23121"/>
      <c r="AX55" s="23121"/>
      <c r="AY55" s="23121"/>
      <c r="AZ55" s="23121"/>
      <c r="BA55" s="23121"/>
      <c r="BB55" s="23121"/>
      <c r="BC55" s="23121"/>
      <c r="BD55" s="23121"/>
      <c r="BE55" s="23121"/>
      <c r="BF55" s="23121"/>
      <c r="BG55" s="23121"/>
      <c r="BH55" s="23121"/>
      <c r="BI55" s="23121"/>
      <c r="BJ55" s="23121"/>
      <c r="BK55" s="23121"/>
      <c r="BL55" s="23121"/>
      <c r="BM55" s="23121"/>
      <c r="BN55" s="23121"/>
      <c r="BO55" s="23121"/>
      <c r="BP55" s="23121"/>
      <c r="BQ55" s="23121"/>
      <c r="BR55" s="2016"/>
      <c r="BS55" s="2016"/>
      <c r="BU55" s="1481"/>
      <c r="BV55" s="1481" t="str">
        <f>IF(T55="","",T55)</f>
        <v>Добавить централизованную систему для дифференциации</v>
      </c>
      <c r="BW55" s="1481"/>
      <c r="BX55" s="1481"/>
      <c r="BY55" s="1210">
        <v>1</v>
      </c>
    </row>
    <row s="61695" customFormat="1" customHeight="1" ht="1.05">
      <c r="A56" s="2035" t="s">
        <v>191</v>
      </c>
      <c r="B56" s="2035"/>
      <c r="C56" s="2035"/>
      <c r="D56" s="2035"/>
      <c r="E56" s="2950"/>
      <c r="F56" s="2035"/>
      <c r="G56" s="2035"/>
      <c r="H56" s="2035"/>
      <c r="I56" s="2035"/>
      <c r="J56" s="2035"/>
      <c r="K56" s="2035"/>
      <c r="L56" s="2038"/>
      <c r="M56" s="2013"/>
      <c r="N56" s="2013"/>
      <c r="O56" s="1210"/>
      <c r="P56" s="1072"/>
      <c r="Q56" s="2036"/>
      <c r="R56" s="1072"/>
      <c r="S56" s="2014"/>
      <c r="T56" s="2017" t="s">
        <v>173</v>
      </c>
      <c r="U56" s="2016"/>
      <c r="V56" s="2016"/>
      <c r="W56" s="2016"/>
      <c r="X56" s="2016"/>
      <c r="Y56" s="2016"/>
      <c r="Z56" s="2016"/>
      <c r="AA56" s="2016"/>
      <c r="AB56" s="2016"/>
      <c r="AC56" s="2016"/>
      <c r="AD56" s="2016"/>
      <c r="AE56" s="2016"/>
      <c r="AF56" s="2016"/>
      <c r="AG56" s="2016"/>
      <c r="AH56" s="2016"/>
      <c r="AI56" s="2016"/>
      <c r="AJ56" s="2016"/>
      <c r="AK56" s="2016"/>
      <c r="AL56" s="23121"/>
      <c r="AM56" s="23121"/>
      <c r="AN56" s="23121"/>
      <c r="AO56" s="23121"/>
      <c r="AP56" s="23121"/>
      <c r="AQ56" s="23121"/>
      <c r="AR56" s="23121"/>
      <c r="AS56" s="23121"/>
      <c r="AT56" s="23121"/>
      <c r="AU56" s="23121"/>
      <c r="AV56" s="23121"/>
      <c r="AW56" s="23121"/>
      <c r="AX56" s="23121"/>
      <c r="AY56" s="23121"/>
      <c r="AZ56" s="23121"/>
      <c r="BA56" s="23121"/>
      <c r="BB56" s="23121"/>
      <c r="BC56" s="23121"/>
      <c r="BD56" s="23121"/>
      <c r="BE56" s="23121"/>
      <c r="BF56" s="23121"/>
      <c r="BG56" s="23121"/>
      <c r="BH56" s="23121"/>
      <c r="BI56" s="23121"/>
      <c r="BJ56" s="23121"/>
      <c r="BK56" s="23121"/>
      <c r="BL56" s="23121"/>
      <c r="BM56" s="23121"/>
      <c r="BN56" s="23121"/>
      <c r="BO56" s="23121"/>
      <c r="BP56" s="23121"/>
      <c r="BQ56" s="23121"/>
      <c r="BR56" s="2016"/>
      <c r="BS56" s="2016"/>
      <c r="BU56" s="1192"/>
      <c r="BV56" s="1192" t="str">
        <f>IF(T56="","",T56)</f>
        <v>Добавить территорию для дифференциации</v>
      </c>
      <c r="BW56" s="1192"/>
      <c r="BX56" s="1192"/>
      <c r="BY56" s="1203">
        <v>1</v>
      </c>
    </row>
    <row s="63225" customFormat="1" customHeight="1" ht="21">
      <c r="A57" s="23328" t="s">
        <v>196</v>
      </c>
      <c r="B57" s="23328"/>
      <c r="C57" s="23328"/>
      <c r="D57" s="23328"/>
      <c r="E57" s="23329" t="s">
        <v>103</v>
      </c>
      <c r="F57" s="23328"/>
      <c r="G57" s="23328"/>
      <c r="H57" s="23328"/>
      <c r="I57" s="23328"/>
      <c r="J57" s="23328"/>
      <c r="K57" s="23328"/>
      <c r="L57" s="23330"/>
      <c r="M57" s="23331"/>
      <c r="N57" s="23331"/>
      <c r="O57" s="23331"/>
      <c r="P57" s="23332"/>
      <c r="Q57" s="23333"/>
      <c r="R57" s="23334"/>
      <c r="S57" s="23335" t="str">
        <f>INDEX(PT_DIFFERENTIATION_NUM_NTAR,MATCH(A57,PT_DIFFERENTIATION_NTAR_ID,0))</f>
        <v>2</v>
      </c>
      <c r="T57" s="23336" t="s">
        <v>131</v>
      </c>
      <c r="U57" s="23337"/>
      <c r="V57" s="22958"/>
      <c r="W57" s="22959"/>
      <c r="X57" s="22959"/>
      <c r="Y57" s="22959"/>
      <c r="Z57" s="22959"/>
      <c r="AA57" s="22959"/>
      <c r="AB57" s="22959"/>
      <c r="AC57" s="22960"/>
      <c r="AD57" s="22958" t="str">
        <f>INDEX(PT_DIFFERENTIATION_NTAR,MATCH(A57,PT_DIFFERENTIATION_NTAR_ID,0))</f>
        <v>Тариф на тепловую энергию, поставляемую потребителям АО "ДГК" на территории Владивостокского городского округа Приморского края</v>
      </c>
      <c r="AE57" s="22959"/>
      <c r="AF57" s="22959"/>
      <c r="AG57" s="22959"/>
      <c r="AH57" s="22959"/>
      <c r="AI57" s="22959"/>
      <c r="AJ57" s="22959"/>
      <c r="AK57" s="22959"/>
      <c r="AL57" s="22958"/>
      <c r="AM57" s="22959"/>
      <c r="AN57" s="22959"/>
      <c r="AO57" s="22959"/>
      <c r="AP57" s="22959"/>
      <c r="AQ57" s="22959"/>
      <c r="AR57" s="22959"/>
      <c r="AS57" s="22960"/>
      <c r="AT57" s="22958"/>
      <c r="AU57" s="22959"/>
      <c r="AV57" s="22959"/>
      <c r="AW57" s="22959"/>
      <c r="AX57" s="22959"/>
      <c r="AY57" s="22959"/>
      <c r="AZ57" s="22959"/>
      <c r="BA57" s="22960"/>
      <c r="BB57" s="22958"/>
      <c r="BC57" s="22959"/>
      <c r="BD57" s="22959"/>
      <c r="BE57" s="22959"/>
      <c r="BF57" s="22959"/>
      <c r="BG57" s="22959"/>
      <c r="BH57" s="22959"/>
      <c r="BI57" s="22960"/>
      <c r="BJ57" s="22958"/>
      <c r="BK57" s="22959"/>
      <c r="BL57" s="22959"/>
      <c r="BM57" s="22959"/>
      <c r="BN57" s="22959"/>
      <c r="BO57" s="22959"/>
      <c r="BP57" s="22959"/>
      <c r="BQ57" s="22960"/>
      <c r="BR57" s="22960"/>
      <c r="BS57" s="23338" t="s">
        <v>471</v>
      </c>
      <c r="BT57" s="23161"/>
      <c r="BU57" s="23339"/>
      <c r="BV57" s="23339" t="str">
        <f>IF(T57="","",T57)</f>
        <v>Наименование тарифа</v>
      </c>
      <c r="BW57" s="23339"/>
      <c r="BX57" s="23339"/>
      <c r="BY57" s="22944">
        <v>0</v>
      </c>
    </row>
    <row s="63225" customFormat="1" customHeight="1" ht="21">
      <c r="A58" s="23328"/>
      <c r="B58" s="23328" t="s">
        <v>197</v>
      </c>
      <c r="C58" s="23328"/>
      <c r="D58" s="23328"/>
      <c r="E58" s="23341">
        <v>1</v>
      </c>
      <c r="F58" s="23329">
        <v>1</v>
      </c>
      <c r="G58" s="23328"/>
      <c r="H58" s="23328"/>
      <c r="I58" s="23328"/>
      <c r="J58" s="23328"/>
      <c r="K58" s="23328"/>
      <c r="L58" s="23330"/>
      <c r="M58" s="23331"/>
      <c r="N58" s="23331"/>
      <c r="O58" s="23331"/>
      <c r="P58" s="23342"/>
      <c r="Q58" s="23343"/>
      <c r="R58" s="23344"/>
      <c r="S58" s="23335" t="str">
        <f>INDEX(PT_DIFFERENTIATION_NUM_TER,MATCH(B58,PT_DIFFERENTIATION_TER_ID,0))</f>
        <v>2.1</v>
      </c>
      <c r="T58" s="23345" t="s">
        <v>472</v>
      </c>
      <c r="U58" s="23337"/>
      <c r="V58" s="22958"/>
      <c r="W58" s="22959"/>
      <c r="X58" s="22959"/>
      <c r="Y58" s="22959"/>
      <c r="Z58" s="22959"/>
      <c r="AA58" s="22959"/>
      <c r="AB58" s="22959"/>
      <c r="AC58" s="22960"/>
      <c r="AD58" s="22958" t="str">
        <f>INDEX(PT_DIFFERENTIATION_TER,MATCH(B58,PT_DIFFERENTIATION_TER_ID,0))</f>
        <v>Территория 2</v>
      </c>
      <c r="AE58" s="22959"/>
      <c r="AF58" s="22959"/>
      <c r="AG58" s="22959"/>
      <c r="AH58" s="22959"/>
      <c r="AI58" s="22959"/>
      <c r="AJ58" s="22959"/>
      <c r="AK58" s="22959"/>
      <c r="AL58" s="22958"/>
      <c r="AM58" s="22959"/>
      <c r="AN58" s="22959"/>
      <c r="AO58" s="22959"/>
      <c r="AP58" s="22959"/>
      <c r="AQ58" s="22959"/>
      <c r="AR58" s="22959"/>
      <c r="AS58" s="22960"/>
      <c r="AT58" s="22958"/>
      <c r="AU58" s="22959"/>
      <c r="AV58" s="22959"/>
      <c r="AW58" s="22959"/>
      <c r="AX58" s="22959"/>
      <c r="AY58" s="22959"/>
      <c r="AZ58" s="22959"/>
      <c r="BA58" s="22960"/>
      <c r="BB58" s="22958"/>
      <c r="BC58" s="22959"/>
      <c r="BD58" s="22959"/>
      <c r="BE58" s="22959"/>
      <c r="BF58" s="22959"/>
      <c r="BG58" s="22959"/>
      <c r="BH58" s="22959"/>
      <c r="BI58" s="22960"/>
      <c r="BJ58" s="22958"/>
      <c r="BK58" s="22959"/>
      <c r="BL58" s="22959"/>
      <c r="BM58" s="22959"/>
      <c r="BN58" s="22959"/>
      <c r="BO58" s="22959"/>
      <c r="BP58" s="22959"/>
      <c r="BQ58" s="22960"/>
      <c r="BR58" s="22960"/>
      <c r="BS58" s="23338" t="s">
        <v>473</v>
      </c>
      <c r="BT58" s="23161"/>
      <c r="BU58" s="23339"/>
      <c r="BV58" s="23339" t="str">
        <f>IF(T58="","",T58)</f>
        <v>Территория действия тарифа</v>
      </c>
      <c r="BW58" s="23339"/>
      <c r="BX58" s="23339"/>
      <c r="BY58" s="22944">
        <v>0</v>
      </c>
    </row>
    <row s="63225" customFormat="1" customHeight="1" ht="23.25">
      <c r="A59" s="23328"/>
      <c r="B59" s="23328"/>
      <c r="C59" s="23328" t="s">
        <v>198</v>
      </c>
      <c r="D59" s="23328"/>
      <c r="E59" s="23341">
        <v>1</v>
      </c>
      <c r="F59" s="23341"/>
      <c r="G59" s="23329">
        <v>1</v>
      </c>
      <c r="H59" s="23328"/>
      <c r="I59" s="23328"/>
      <c r="J59" s="23328"/>
      <c r="K59" s="23328"/>
      <c r="L59" s="23330"/>
      <c r="M59" s="23331"/>
      <c r="N59" s="23331"/>
      <c r="O59" s="23331"/>
      <c r="P59" s="23347"/>
      <c r="Q59" s="23343"/>
      <c r="R59" s="23344"/>
      <c r="S59" s="23335" t="str">
        <f>INDEX(PT_DIFFERENTIATION_NUM_CS,MATCH(C59,PT_DIFFERENTIATION_CS_ID,0))</f>
        <v>2.1.1</v>
      </c>
      <c r="T59" s="23348" t="s">
        <v>474</v>
      </c>
      <c r="U59" s="23337"/>
      <c r="V59" s="22958"/>
      <c r="W59" s="22959"/>
      <c r="X59" s="22959"/>
      <c r="Y59" s="22959"/>
      <c r="Z59" s="22959"/>
      <c r="AA59" s="22959"/>
      <c r="AB59" s="22959"/>
      <c r="AC59" s="22960"/>
      <c r="AD59" s="22958" t="str">
        <f>INDEX(PT_DIFFERENTIATION_CS,MATCH(C59,PT_DIFFERENTIATION_CS_ID,0))</f>
        <v>без дифференциации</v>
      </c>
      <c r="AE59" s="22959"/>
      <c r="AF59" s="22959"/>
      <c r="AG59" s="22959"/>
      <c r="AH59" s="22959"/>
      <c r="AI59" s="22959"/>
      <c r="AJ59" s="22959"/>
      <c r="AK59" s="22959"/>
      <c r="AL59" s="22958"/>
      <c r="AM59" s="22959"/>
      <c r="AN59" s="22959"/>
      <c r="AO59" s="22959"/>
      <c r="AP59" s="22959"/>
      <c r="AQ59" s="22959"/>
      <c r="AR59" s="22959"/>
      <c r="AS59" s="22960"/>
      <c r="AT59" s="22958"/>
      <c r="AU59" s="22959"/>
      <c r="AV59" s="22959"/>
      <c r="AW59" s="22959"/>
      <c r="AX59" s="22959"/>
      <c r="AY59" s="22959"/>
      <c r="AZ59" s="22959"/>
      <c r="BA59" s="22960"/>
      <c r="BB59" s="22958"/>
      <c r="BC59" s="22959"/>
      <c r="BD59" s="22959"/>
      <c r="BE59" s="22959"/>
      <c r="BF59" s="22959"/>
      <c r="BG59" s="22959"/>
      <c r="BH59" s="22959"/>
      <c r="BI59" s="22960"/>
      <c r="BJ59" s="22958"/>
      <c r="BK59" s="22959"/>
      <c r="BL59" s="22959"/>
      <c r="BM59" s="22959"/>
      <c r="BN59" s="22959"/>
      <c r="BO59" s="22959"/>
      <c r="BP59" s="22959"/>
      <c r="BQ59" s="22960"/>
      <c r="BR59" s="22960"/>
      <c r="BS59" s="23338" t="s">
        <v>475</v>
      </c>
      <c r="BT59" s="23161"/>
      <c r="BU59" s="23339"/>
      <c r="BV59" s="23339" t="str">
        <f>IF(T59="","",T59)</f>
        <v>Наименование системы теплоснабжения </v>
      </c>
      <c r="BW59" s="23339"/>
      <c r="BX59" s="23339"/>
      <c r="BY59" s="22944">
        <v>0</v>
      </c>
    </row>
    <row s="63225" customFormat="1" customHeight="1" ht="21">
      <c r="A60" s="23328"/>
      <c r="B60" s="23328"/>
      <c r="C60" s="23328"/>
      <c r="D60" s="23328" t="s">
        <v>199</v>
      </c>
      <c r="E60" s="23341">
        <v>1</v>
      </c>
      <c r="F60" s="23341"/>
      <c r="G60" s="23341"/>
      <c r="H60" s="23329">
        <v>1</v>
      </c>
      <c r="I60" s="23328"/>
      <c r="J60" s="23328"/>
      <c r="K60" s="23328"/>
      <c r="L60" s="23330"/>
      <c r="M60" s="23331"/>
      <c r="N60" s="23331"/>
      <c r="O60" s="23331"/>
      <c r="P60" s="23347"/>
      <c r="Q60" s="23343"/>
      <c r="R60" s="23344"/>
      <c r="S60" s="23335" t="str">
        <f>INDEX(PT_DIFFERENTIATION_NUM_IST_TE,MATCH(D60,PT_DIFFERENTIATION_IST_TE_ID,0))</f>
        <v>2.1.1.1</v>
      </c>
      <c r="T60" s="23350" t="s">
        <v>476</v>
      </c>
      <c r="U60" s="23337"/>
      <c r="V60" s="22958"/>
      <c r="W60" s="22959"/>
      <c r="X60" s="22959"/>
      <c r="Y60" s="22959"/>
      <c r="Z60" s="22959"/>
      <c r="AA60" s="22959"/>
      <c r="AB60" s="22959"/>
      <c r="AC60" s="22960"/>
      <c r="AD60" s="22958" t="str">
        <f>INDEX(PT_DIFFERENTIATION_IST_TE,MATCH(D60,PT_DIFFERENTIATION_IST_TE_ID,0))</f>
        <v>без дифференциации</v>
      </c>
      <c r="AE60" s="22959"/>
      <c r="AF60" s="22959"/>
      <c r="AG60" s="22959"/>
      <c r="AH60" s="22959"/>
      <c r="AI60" s="22959"/>
      <c r="AJ60" s="22959"/>
      <c r="AK60" s="22959"/>
      <c r="AL60" s="22958"/>
      <c r="AM60" s="22959"/>
      <c r="AN60" s="22959"/>
      <c r="AO60" s="22959"/>
      <c r="AP60" s="22959"/>
      <c r="AQ60" s="22959"/>
      <c r="AR60" s="22959"/>
      <c r="AS60" s="22960"/>
      <c r="AT60" s="22958"/>
      <c r="AU60" s="22959"/>
      <c r="AV60" s="22959"/>
      <c r="AW60" s="22959"/>
      <c r="AX60" s="22959"/>
      <c r="AY60" s="22959"/>
      <c r="AZ60" s="22959"/>
      <c r="BA60" s="22960"/>
      <c r="BB60" s="22958"/>
      <c r="BC60" s="22959"/>
      <c r="BD60" s="22959"/>
      <c r="BE60" s="22959"/>
      <c r="BF60" s="22959"/>
      <c r="BG60" s="22959"/>
      <c r="BH60" s="22959"/>
      <c r="BI60" s="22960"/>
      <c r="BJ60" s="22958"/>
      <c r="BK60" s="22959"/>
      <c r="BL60" s="22959"/>
      <c r="BM60" s="22959"/>
      <c r="BN60" s="22959"/>
      <c r="BO60" s="22959"/>
      <c r="BP60" s="22959"/>
      <c r="BQ60" s="22960"/>
      <c r="BR60" s="22960"/>
      <c r="BS60" s="23338" t="s">
        <v>477</v>
      </c>
      <c r="BT60" s="23161"/>
      <c r="BU60" s="23339"/>
      <c r="BV60" s="23339" t="str">
        <f>IF(T60="","",T60)</f>
        <v>Источник тепловой энергии  </v>
      </c>
      <c r="BW60" s="23339"/>
      <c r="BX60" s="23339"/>
      <c r="BY60" s="22944">
        <v>0</v>
      </c>
    </row>
    <row s="63225" customFormat="1" customHeight="1" ht="47.25">
      <c r="A61" s="23328"/>
      <c r="B61" s="23328"/>
      <c r="C61" s="23328"/>
      <c r="D61" s="23328"/>
      <c r="E61" s="23341">
        <v>1</v>
      </c>
      <c r="F61" s="23341"/>
      <c r="G61" s="23341"/>
      <c r="H61" s="23341"/>
      <c r="I61" s="23352" t="str">
        <f>S60&amp;".1"</f>
        <v>2.1.1.1.1</v>
      </c>
      <c r="J61" s="23328"/>
      <c r="K61" s="23328"/>
      <c r="L61" s="23330" t="s">
        <v>478</v>
      </c>
      <c r="M61" s="23133"/>
      <c r="N61" s="23353"/>
      <c r="O61" s="23353"/>
      <c r="P61" s="23354">
        <v>1</v>
      </c>
      <c r="Q61" s="23354"/>
      <c r="R61" s="23355"/>
      <c r="S61" s="23335" t="str">
        <f>$I61</f>
        <v>2.1.1.1.1</v>
      </c>
      <c r="T61" s="23356" t="s">
        <v>479</v>
      </c>
      <c r="U61" s="23337"/>
      <c r="V61" s="22979"/>
      <c r="W61" s="22980"/>
      <c r="X61" s="22980"/>
      <c r="Y61" s="22980"/>
      <c r="Z61" s="22980"/>
      <c r="AA61" s="22980"/>
      <c r="AB61" s="22980"/>
      <c r="AC61" s="22981"/>
      <c r="AD61" s="22979" t="s">
        <v>521</v>
      </c>
      <c r="AE61" s="22980"/>
      <c r="AF61" s="22980"/>
      <c r="AG61" s="22980"/>
      <c r="AH61" s="22980"/>
      <c r="AI61" s="22980"/>
      <c r="AJ61" s="22980"/>
      <c r="AK61" s="22980"/>
      <c r="AL61" s="22979"/>
      <c r="AM61" s="22980"/>
      <c r="AN61" s="22980"/>
      <c r="AO61" s="22980"/>
      <c r="AP61" s="22980"/>
      <c r="AQ61" s="22980"/>
      <c r="AR61" s="22980"/>
      <c r="AS61" s="22981"/>
      <c r="AT61" s="22979"/>
      <c r="AU61" s="22980"/>
      <c r="AV61" s="22980"/>
      <c r="AW61" s="22980"/>
      <c r="AX61" s="22980"/>
      <c r="AY61" s="22980"/>
      <c r="AZ61" s="22980"/>
      <c r="BA61" s="22981"/>
      <c r="BB61" s="22979"/>
      <c r="BC61" s="22980"/>
      <c r="BD61" s="22980"/>
      <c r="BE61" s="22980"/>
      <c r="BF61" s="22980"/>
      <c r="BG61" s="22980"/>
      <c r="BH61" s="22980"/>
      <c r="BI61" s="22981"/>
      <c r="BJ61" s="22979"/>
      <c r="BK61" s="22980"/>
      <c r="BL61" s="22980"/>
      <c r="BM61" s="22980"/>
      <c r="BN61" s="22980"/>
      <c r="BO61" s="22980"/>
      <c r="BP61" s="22980"/>
      <c r="BQ61" s="22981"/>
      <c r="BR61" s="22981"/>
      <c r="BS61" s="23338" t="s">
        <v>480</v>
      </c>
      <c r="BT61" s="23161"/>
      <c r="BU61" s="23339"/>
      <c r="BV61" s="23339" t="str">
        <f>IF(T61="","",T61)</f>
        <v>Схема подключения теплопотребляющей установки к коллектору источника тепловой энергии</v>
      </c>
      <c r="BW61" s="23339"/>
      <c r="BX61" s="23339"/>
      <c r="BY61" s="22944">
        <v>0</v>
      </c>
    </row>
    <row s="63225" customFormat="1" customHeight="1" ht="21">
      <c r="A62" s="23328"/>
      <c r="B62" s="23328"/>
      <c r="C62" s="23328"/>
      <c r="D62" s="23328"/>
      <c r="E62" s="23341">
        <v>1</v>
      </c>
      <c r="F62" s="23341"/>
      <c r="G62" s="23341"/>
      <c r="H62" s="23341"/>
      <c r="I62" s="23358"/>
      <c r="J62" s="23352" t="str">
        <f>I61&amp;".1"</f>
        <v>2.1.1.1.1.1</v>
      </c>
      <c r="K62" s="23328"/>
      <c r="L62" s="23330" t="s">
        <v>481</v>
      </c>
      <c r="M62" s="23133"/>
      <c r="N62" s="23133"/>
      <c r="O62" s="23353"/>
      <c r="P62" s="23354"/>
      <c r="Q62" s="23354">
        <v>1</v>
      </c>
      <c r="R62" s="23359"/>
      <c r="S62" s="23335" t="str">
        <f>$J62</f>
        <v>2.1.1.1.1.1</v>
      </c>
      <c r="T62" s="23360" t="s">
        <v>482</v>
      </c>
      <c r="U62" s="23337"/>
      <c r="V62" s="22979"/>
      <c r="W62" s="22980"/>
      <c r="X62" s="22980"/>
      <c r="Y62" s="22980"/>
      <c r="Z62" s="22980"/>
      <c r="AA62" s="22980"/>
      <c r="AB62" s="22980"/>
      <c r="AC62" s="22981"/>
      <c r="AD62" s="22979" t="s">
        <v>521</v>
      </c>
      <c r="AE62" s="22980"/>
      <c r="AF62" s="22980"/>
      <c r="AG62" s="22980"/>
      <c r="AH62" s="22980"/>
      <c r="AI62" s="22980"/>
      <c r="AJ62" s="22980"/>
      <c r="AK62" s="22980"/>
      <c r="AL62" s="22979"/>
      <c r="AM62" s="22980"/>
      <c r="AN62" s="22980"/>
      <c r="AO62" s="22980"/>
      <c r="AP62" s="22980"/>
      <c r="AQ62" s="22980"/>
      <c r="AR62" s="22980"/>
      <c r="AS62" s="22981"/>
      <c r="AT62" s="22979"/>
      <c r="AU62" s="22980"/>
      <c r="AV62" s="22980"/>
      <c r="AW62" s="22980"/>
      <c r="AX62" s="22980"/>
      <c r="AY62" s="22980"/>
      <c r="AZ62" s="22980"/>
      <c r="BA62" s="22981"/>
      <c r="BB62" s="22979"/>
      <c r="BC62" s="22980"/>
      <c r="BD62" s="22980"/>
      <c r="BE62" s="22980"/>
      <c r="BF62" s="22980"/>
      <c r="BG62" s="22980"/>
      <c r="BH62" s="22980"/>
      <c r="BI62" s="22981"/>
      <c r="BJ62" s="22979"/>
      <c r="BK62" s="22980"/>
      <c r="BL62" s="22980"/>
      <c r="BM62" s="22980"/>
      <c r="BN62" s="22980"/>
      <c r="BO62" s="22980"/>
      <c r="BP62" s="22980"/>
      <c r="BQ62" s="22981"/>
      <c r="BR62" s="22981"/>
      <c r="BS62" s="23338" t="s">
        <v>483</v>
      </c>
      <c r="BT62" s="23161"/>
      <c r="BU62" s="23339"/>
      <c r="BV62" s="23339" t="str">
        <f>IF(T62="","",T62)</f>
        <v>Группа потребителей</v>
      </c>
      <c r="BW62" s="23339"/>
      <c r="BX62" s="23339"/>
      <c r="BY62" s="22944">
        <v>0</v>
      </c>
    </row>
    <row s="63225" customFormat="1" customHeight="1" ht="21">
      <c r="A63" s="23328"/>
      <c r="B63" s="23328"/>
      <c r="C63" s="23328"/>
      <c r="D63" s="23328"/>
      <c r="E63" s="23341">
        <v>1</v>
      </c>
      <c r="F63" s="23341"/>
      <c r="G63" s="23341"/>
      <c r="H63" s="23341"/>
      <c r="I63" s="23358"/>
      <c r="J63" s="23358"/>
      <c r="K63" s="23352" t="str">
        <f>J62&amp;".1"</f>
        <v>2.1.1.1.1.1.1</v>
      </c>
      <c r="L63" s="23330" t="s">
        <v>484</v>
      </c>
      <c r="M63" s="23133"/>
      <c r="N63" s="23133"/>
      <c r="O63" s="23133"/>
      <c r="P63" s="23354"/>
      <c r="Q63" s="23354"/>
      <c r="R63" s="23359">
        <v>1</v>
      </c>
      <c r="S63" s="23335" t="str">
        <f>$K63</f>
        <v>2.1.1.1.1.1.1</v>
      </c>
      <c r="T63" s="23362" t="s">
        <v>522</v>
      </c>
      <c r="U63" s="23337"/>
      <c r="V63" s="22991"/>
      <c r="W63" s="22992"/>
      <c r="X63" s="22991"/>
      <c r="Y63" s="22993"/>
      <c r="Z63" s="22994"/>
      <c r="AA63" s="22349" t="s">
        <v>67</v>
      </c>
      <c r="AB63" s="22994"/>
      <c r="AC63" s="22349" t="s">
        <v>67</v>
      </c>
      <c r="AD63" s="22991">
        <v>3795.73</v>
      </c>
      <c r="AE63" s="22992"/>
      <c r="AF63" s="22991">
        <v>610.57</v>
      </c>
      <c r="AG63" s="22993">
        <v>336.726</v>
      </c>
      <c r="AH63" s="22994">
        <v>45292</v>
      </c>
      <c r="AI63" s="22349" t="s">
        <v>67</v>
      </c>
      <c r="AJ63" s="22994">
        <v>45657</v>
      </c>
      <c r="AK63" s="22349" t="s">
        <v>67</v>
      </c>
      <c r="AL63" s="22991">
        <v>4451.36</v>
      </c>
      <c r="AM63" s="22992"/>
      <c r="AN63" s="22991">
        <v>623.68</v>
      </c>
      <c r="AO63" s="22993">
        <v>412.7595</v>
      </c>
      <c r="AP63" s="22994">
        <v>45658</v>
      </c>
      <c r="AQ63" s="22349" t="s">
        <v>67</v>
      </c>
      <c r="AR63" s="22994">
        <v>46022</v>
      </c>
      <c r="AS63" s="22349" t="s">
        <v>67</v>
      </c>
      <c r="AT63" s="22991">
        <v>6070.29</v>
      </c>
      <c r="AU63" s="22992"/>
      <c r="AV63" s="22991">
        <v>1236.07</v>
      </c>
      <c r="AW63" s="22993">
        <v>542.78368</v>
      </c>
      <c r="AX63" s="22994">
        <v>46023</v>
      </c>
      <c r="AY63" s="22349" t="s">
        <v>67</v>
      </c>
      <c r="AZ63" s="22994">
        <v>46387</v>
      </c>
      <c r="BA63" s="22349" t="s">
        <v>67</v>
      </c>
      <c r="BB63" s="22991">
        <v>3423.42</v>
      </c>
      <c r="BC63" s="22992"/>
      <c r="BD63" s="22991">
        <v>747.54</v>
      </c>
      <c r="BE63" s="22993">
        <v>282.735</v>
      </c>
      <c r="BF63" s="22994">
        <v>46388</v>
      </c>
      <c r="BG63" s="22349" t="s">
        <v>67</v>
      </c>
      <c r="BH63" s="22994">
        <v>46752</v>
      </c>
      <c r="BI63" s="22349" t="s">
        <v>67</v>
      </c>
      <c r="BJ63" s="22991">
        <v>3525.13</v>
      </c>
      <c r="BK63" s="22992"/>
      <c r="BL63" s="22991">
        <v>799.63</v>
      </c>
      <c r="BM63" s="22993">
        <v>287.977</v>
      </c>
      <c r="BN63" s="22994">
        <v>46753</v>
      </c>
      <c r="BO63" s="22349" t="s">
        <v>67</v>
      </c>
      <c r="BP63" s="22994">
        <v>47118</v>
      </c>
      <c r="BQ63" s="22349" t="s">
        <v>67</v>
      </c>
      <c r="BR63" s="22992"/>
      <c r="BS63" s="23363" t="s">
        <v>485</v>
      </c>
      <c r="BT63" s="23161">
        <f>STRCHECKDATE(V64:BR64)</f>
      </c>
      <c r="BU63" s="23339"/>
      <c r="BV63" s="23339" t="str">
        <f>IF(T63="","",T63)</f>
        <v>вода</v>
      </c>
      <c r="BW63" s="23339"/>
      <c r="BX63" s="23339"/>
      <c r="BY63" s="22944">
        <v>0</v>
      </c>
    </row>
    <row s="63225" customFormat="1" customHeight="1" ht="0.75">
      <c r="A64" s="23328"/>
      <c r="B64" s="23328"/>
      <c r="C64" s="23328"/>
      <c r="D64" s="23328"/>
      <c r="E64" s="23341">
        <v>1</v>
      </c>
      <c r="F64" s="23341"/>
      <c r="G64" s="23341"/>
      <c r="H64" s="23341"/>
      <c r="I64" s="23358"/>
      <c r="J64" s="23358"/>
      <c r="K64" s="23352"/>
      <c r="L64" s="23330"/>
      <c r="M64" s="23133"/>
      <c r="N64" s="23133"/>
      <c r="O64" s="23133"/>
      <c r="P64" s="23354"/>
      <c r="Q64" s="23354"/>
      <c r="R64" s="23359"/>
      <c r="S64" s="23365"/>
      <c r="T64" s="23337"/>
      <c r="U64" s="23337"/>
      <c r="V64" s="22992"/>
      <c r="W64" s="22992"/>
      <c r="X64" s="22992"/>
      <c r="Y64" s="22999" t="str">
        <f>Z63&amp;"-"&amp;AB63</f>
        <v>-</v>
      </c>
      <c r="Z64" s="23000"/>
      <c r="AA64" s="22349"/>
      <c r="AB64" s="23000"/>
      <c r="AC64" s="22349"/>
      <c r="AD64" s="22992"/>
      <c r="AE64" s="22992"/>
      <c r="AF64" s="22992"/>
      <c r="AG64" s="22999" t="str">
        <f>AH63&amp;"-"&amp;AJ63</f>
        <v>45292-45657</v>
      </c>
      <c r="AH64" s="23000"/>
      <c r="AI64" s="22349"/>
      <c r="AJ64" s="23000"/>
      <c r="AK64" s="22349"/>
      <c r="AL64" s="22992"/>
      <c r="AM64" s="22992"/>
      <c r="AN64" s="22992"/>
      <c r="AO64" s="22999" t="str">
        <f>AP63&amp;"-"&amp;AR63</f>
        <v>45658-46022</v>
      </c>
      <c r="AP64" s="23000"/>
      <c r="AQ64" s="22349"/>
      <c r="AR64" s="23000"/>
      <c r="AS64" s="22349"/>
      <c r="AT64" s="22992"/>
      <c r="AU64" s="22992"/>
      <c r="AV64" s="22992"/>
      <c r="AW64" s="22999" t="str">
        <f>AX63&amp;"-"&amp;AZ63</f>
        <v>46023-46387</v>
      </c>
      <c r="AX64" s="23000"/>
      <c r="AY64" s="22349"/>
      <c r="AZ64" s="23000"/>
      <c r="BA64" s="22349"/>
      <c r="BB64" s="22992"/>
      <c r="BC64" s="22992"/>
      <c r="BD64" s="22992"/>
      <c r="BE64" s="22999" t="str">
        <f>BF63&amp;"-"&amp;BH63</f>
        <v>46388-46752</v>
      </c>
      <c r="BF64" s="23000"/>
      <c r="BG64" s="22349"/>
      <c r="BH64" s="23000"/>
      <c r="BI64" s="22349"/>
      <c r="BJ64" s="22992"/>
      <c r="BK64" s="22992"/>
      <c r="BL64" s="22992"/>
      <c r="BM64" s="22999" t="str">
        <f>BN63&amp;"-"&amp;BP63</f>
        <v>46753-47118</v>
      </c>
      <c r="BN64" s="23000"/>
      <c r="BO64" s="22349"/>
      <c r="BP64" s="23000"/>
      <c r="BQ64" s="22349"/>
      <c r="BR64" s="22992"/>
      <c r="BS64" s="23366"/>
      <c r="BT64" s="23161"/>
      <c r="BU64" s="23339"/>
      <c r="BV64" s="23339" t="str">
        <f>IF(T64="","",T64)</f>
        <v/>
      </c>
      <c r="BW64" s="23339"/>
      <c r="BX64" s="23339"/>
      <c r="BY64" s="22944">
        <v>0</v>
      </c>
    </row>
    <row s="63225" customFormat="1" customHeight="1" ht="15">
      <c r="A65" s="23328"/>
      <c r="B65" s="23328"/>
      <c r="C65" s="23328"/>
      <c r="D65" s="23328"/>
      <c r="E65" s="23341">
        <v>1</v>
      </c>
      <c r="F65" s="23341"/>
      <c r="G65" s="23341"/>
      <c r="H65" s="23341"/>
      <c r="I65" s="23358"/>
      <c r="J65" s="23352"/>
      <c r="K65" s="23328"/>
      <c r="L65" s="23330"/>
      <c r="M65" s="23133"/>
      <c r="N65" s="23133"/>
      <c r="O65" s="23353"/>
      <c r="P65" s="23354"/>
      <c r="Q65" s="23354"/>
      <c r="R65" s="23355"/>
      <c r="S65" s="23936"/>
      <c r="T65" s="23937" t="s">
        <v>486</v>
      </c>
      <c r="U65" s="23938"/>
      <c r="V65" s="23939"/>
      <c r="W65" s="23940"/>
      <c r="X65" s="23941"/>
      <c r="Y65" s="23942"/>
      <c r="Z65" s="23943"/>
      <c r="AA65" s="23944"/>
      <c r="AB65" s="23945"/>
      <c r="AC65" s="23946"/>
      <c r="AD65" s="23947"/>
      <c r="AE65" s="23948"/>
      <c r="AF65" s="23949"/>
      <c r="AG65" s="23950"/>
      <c r="AH65" s="23951"/>
      <c r="AI65" s="23952"/>
      <c r="AJ65" s="23953"/>
      <c r="AK65" s="23954"/>
      <c r="AL65" s="23955"/>
      <c r="AM65" s="23956"/>
      <c r="AN65" s="23957"/>
      <c r="AO65" s="23958"/>
      <c r="AP65" s="23959"/>
      <c r="AQ65" s="23960"/>
      <c r="AR65" s="23961"/>
      <c r="AS65" s="23962"/>
      <c r="AT65" s="23963"/>
      <c r="AU65" s="23964"/>
      <c r="AV65" s="23965"/>
      <c r="AW65" s="23966"/>
      <c r="AX65" s="23967"/>
      <c r="AY65" s="23968"/>
      <c r="AZ65" s="23969"/>
      <c r="BA65" s="23970"/>
      <c r="BB65" s="23971"/>
      <c r="BC65" s="23972"/>
      <c r="BD65" s="23973"/>
      <c r="BE65" s="23974"/>
      <c r="BF65" s="23975"/>
      <c r="BG65" s="23976"/>
      <c r="BH65" s="23977"/>
      <c r="BI65" s="23978"/>
      <c r="BJ65" s="23979"/>
      <c r="BK65" s="23980"/>
      <c r="BL65" s="23981"/>
      <c r="BM65" s="23982"/>
      <c r="BN65" s="23983"/>
      <c r="BO65" s="23984"/>
      <c r="BP65" s="23985"/>
      <c r="BQ65" s="23986"/>
      <c r="BR65" s="23987"/>
      <c r="BS65" s="23420"/>
      <c r="BT65" s="23161"/>
      <c r="BU65" s="23339"/>
      <c r="BV65" s="23339" t="str">
        <f>IF(T65="","",T65)</f>
        <v>Добавить вид теплоносителя (параметры теплоносителя)</v>
      </c>
      <c r="BW65" s="23339"/>
      <c r="BX65" s="23339"/>
      <c r="BY65" s="22944">
        <v>0</v>
      </c>
    </row>
    <row s="63225" customFormat="1" customHeight="1" ht="15">
      <c r="A66" s="23328"/>
      <c r="B66" s="23328"/>
      <c r="C66" s="23328"/>
      <c r="D66" s="23328"/>
      <c r="E66" s="23341">
        <v>1</v>
      </c>
      <c r="F66" s="23341"/>
      <c r="G66" s="23341"/>
      <c r="H66" s="23341"/>
      <c r="I66" s="23352"/>
      <c r="J66" s="23328"/>
      <c r="K66" s="23328"/>
      <c r="L66" s="23330"/>
      <c r="M66" s="23133"/>
      <c r="N66" s="23353"/>
      <c r="O66" s="23353"/>
      <c r="P66" s="23354"/>
      <c r="Q66" s="23354"/>
      <c r="R66" s="23355"/>
      <c r="S66" s="23989"/>
      <c r="T66" s="23990" t="s">
        <v>487</v>
      </c>
      <c r="U66" s="23991"/>
      <c r="V66" s="23992"/>
      <c r="W66" s="23993"/>
      <c r="X66" s="23994"/>
      <c r="Y66" s="23995"/>
      <c r="Z66" s="23996"/>
      <c r="AA66" s="23997"/>
      <c r="AB66" s="23998"/>
      <c r="AC66" s="23999"/>
      <c r="AD66" s="24000"/>
      <c r="AE66" s="24001"/>
      <c r="AF66" s="24002"/>
      <c r="AG66" s="24003"/>
      <c r="AH66" s="24004"/>
      <c r="AI66" s="24005"/>
      <c r="AJ66" s="24006"/>
      <c r="AK66" s="24007"/>
      <c r="AL66" s="24008"/>
      <c r="AM66" s="24009"/>
      <c r="AN66" s="24010"/>
      <c r="AO66" s="24011"/>
      <c r="AP66" s="24012"/>
      <c r="AQ66" s="24013"/>
      <c r="AR66" s="24014"/>
      <c r="AS66" s="24015"/>
      <c r="AT66" s="24016"/>
      <c r="AU66" s="24017"/>
      <c r="AV66" s="24018"/>
      <c r="AW66" s="24019"/>
      <c r="AX66" s="24020"/>
      <c r="AY66" s="24021"/>
      <c r="AZ66" s="24022"/>
      <c r="BA66" s="24023"/>
      <c r="BB66" s="24024"/>
      <c r="BC66" s="24025"/>
      <c r="BD66" s="24026"/>
      <c r="BE66" s="24027"/>
      <c r="BF66" s="24028"/>
      <c r="BG66" s="24029"/>
      <c r="BH66" s="24030"/>
      <c r="BI66" s="24031"/>
      <c r="BJ66" s="24032"/>
      <c r="BK66" s="24033"/>
      <c r="BL66" s="24034"/>
      <c r="BM66" s="24035"/>
      <c r="BN66" s="24036"/>
      <c r="BO66" s="24037"/>
      <c r="BP66" s="24038"/>
      <c r="BQ66" s="24039"/>
      <c r="BR66" s="24040"/>
      <c r="BS66" s="24041"/>
      <c r="BT66" s="23161"/>
      <c r="BU66" s="23339"/>
      <c r="BV66" s="23339" t="str">
        <f>IF(T66="","",T66)</f>
        <v>Добавить группу потребителей</v>
      </c>
      <c r="BW66" s="23339"/>
      <c r="BX66" s="23339"/>
      <c r="BY66" s="22944">
        <v>0</v>
      </c>
    </row>
    <row s="63225" customFormat="1" customHeight="1" ht="14.25">
      <c r="A67" s="23328"/>
      <c r="B67" s="23328"/>
      <c r="C67" s="23328"/>
      <c r="D67" s="23328"/>
      <c r="E67" s="23341">
        <v>1</v>
      </c>
      <c r="F67" s="23341"/>
      <c r="G67" s="23341"/>
      <c r="H67" s="23329"/>
      <c r="I67" s="23328"/>
      <c r="J67" s="23328"/>
      <c r="K67" s="23328"/>
      <c r="L67" s="23330"/>
      <c r="M67" s="23331"/>
      <c r="N67" s="23331"/>
      <c r="O67" s="23133"/>
      <c r="P67" s="23333"/>
      <c r="Q67" s="23476"/>
      <c r="R67" s="23334"/>
      <c r="S67" s="24043"/>
      <c r="T67" s="24044" t="s">
        <v>488</v>
      </c>
      <c r="U67" s="24045"/>
      <c r="V67" s="24046"/>
      <c r="W67" s="24047"/>
      <c r="X67" s="24048"/>
      <c r="Y67" s="24049"/>
      <c r="Z67" s="24050"/>
      <c r="AA67" s="24051"/>
      <c r="AB67" s="24052"/>
      <c r="AC67" s="24053"/>
      <c r="AD67" s="24054"/>
      <c r="AE67" s="24055"/>
      <c r="AF67" s="24056"/>
      <c r="AG67" s="24057"/>
      <c r="AH67" s="24058"/>
      <c r="AI67" s="24059"/>
      <c r="AJ67" s="24060"/>
      <c r="AK67" s="24061"/>
      <c r="AL67" s="24062"/>
      <c r="AM67" s="24063"/>
      <c r="AN67" s="24064"/>
      <c r="AO67" s="24065"/>
      <c r="AP67" s="24066"/>
      <c r="AQ67" s="24067"/>
      <c r="AR67" s="24068"/>
      <c r="AS67" s="24069"/>
      <c r="AT67" s="24070"/>
      <c r="AU67" s="24071"/>
      <c r="AV67" s="24072"/>
      <c r="AW67" s="24073"/>
      <c r="AX67" s="24074"/>
      <c r="AY67" s="24075"/>
      <c r="AZ67" s="24076"/>
      <c r="BA67" s="24077"/>
      <c r="BB67" s="24078"/>
      <c r="BC67" s="24079"/>
      <c r="BD67" s="24080"/>
      <c r="BE67" s="24081"/>
      <c r="BF67" s="24082"/>
      <c r="BG67" s="24083"/>
      <c r="BH67" s="24084"/>
      <c r="BI67" s="24085"/>
      <c r="BJ67" s="24086"/>
      <c r="BK67" s="24087"/>
      <c r="BL67" s="24088"/>
      <c r="BM67" s="24089"/>
      <c r="BN67" s="24090"/>
      <c r="BO67" s="24091"/>
      <c r="BP67" s="24092"/>
      <c r="BQ67" s="24093"/>
      <c r="BR67" s="24094"/>
      <c r="BS67" s="24095"/>
      <c r="BT67" s="23161"/>
      <c r="BU67" s="23339"/>
      <c r="BV67" s="23339" t="str">
        <f>IF(T67="","",T67)</f>
        <v>Добавить схему подключения</v>
      </c>
      <c r="BW67" s="23339"/>
      <c r="BX67" s="23339"/>
      <c r="BY67" s="22944">
        <v>0</v>
      </c>
    </row>
    <row s="61685" customFormat="1" customHeight="1" ht="0.75">
      <c r="A68" s="23531"/>
      <c r="B68" s="23531"/>
      <c r="C68" s="23531"/>
      <c r="D68" s="23531"/>
      <c r="E68" s="23341">
        <v>1</v>
      </c>
      <c r="F68" s="23341"/>
      <c r="G68" s="23329"/>
      <c r="H68" s="23531"/>
      <c r="I68" s="23531"/>
      <c r="J68" s="23531"/>
      <c r="K68" s="23531"/>
      <c r="L68" s="23532"/>
      <c r="M68" s="23533"/>
      <c r="N68" s="23533"/>
      <c r="O68" s="23161"/>
      <c r="P68" s="23534"/>
      <c r="Q68" s="23535"/>
      <c r="R68" s="23534"/>
      <c r="S68" s="23536"/>
      <c r="T68" s="23537" t="s">
        <v>171</v>
      </c>
      <c r="U68" s="23115"/>
      <c r="V68" s="23115"/>
      <c r="W68" s="23115"/>
      <c r="X68" s="23115"/>
      <c r="Y68" s="23115"/>
      <c r="Z68" s="23115"/>
      <c r="AA68" s="23115"/>
      <c r="AB68" s="23115"/>
      <c r="AC68" s="23115"/>
      <c r="AD68" s="23115"/>
      <c r="AE68" s="23115"/>
      <c r="AF68" s="23115"/>
      <c r="AG68" s="23115"/>
      <c r="AH68" s="23115"/>
      <c r="AI68" s="23115"/>
      <c r="AJ68" s="23115"/>
      <c r="AK68" s="23115"/>
      <c r="AL68" s="23115"/>
      <c r="AM68" s="23115"/>
      <c r="AN68" s="23115"/>
      <c r="AO68" s="23115"/>
      <c r="AP68" s="23115"/>
      <c r="AQ68" s="23115"/>
      <c r="AR68" s="23115"/>
      <c r="AS68" s="23115"/>
      <c r="AT68" s="23115"/>
      <c r="AU68" s="23115"/>
      <c r="AV68" s="23115"/>
      <c r="AW68" s="23115"/>
      <c r="AX68" s="23115"/>
      <c r="AY68" s="23115"/>
      <c r="AZ68" s="23115"/>
      <c r="BA68" s="23115"/>
      <c r="BB68" s="23115"/>
      <c r="BC68" s="23115"/>
      <c r="BD68" s="23115"/>
      <c r="BE68" s="23115"/>
      <c r="BF68" s="23115"/>
      <c r="BG68" s="23115"/>
      <c r="BH68" s="23115"/>
      <c r="BI68" s="23115"/>
      <c r="BJ68" s="23115"/>
      <c r="BK68" s="23115"/>
      <c r="BL68" s="23115"/>
      <c r="BM68" s="23115"/>
      <c r="BN68" s="23115"/>
      <c r="BO68" s="23115"/>
      <c r="BP68" s="23115"/>
      <c r="BQ68" s="23115"/>
      <c r="BR68" s="23115"/>
      <c r="BS68" s="23115"/>
      <c r="BT68" s="23161"/>
      <c r="BU68" s="23339"/>
      <c r="BV68" s="23339" t="str">
        <f>IF(T68="","",T68)</f>
        <v>Добавить источник для дифференциации</v>
      </c>
      <c r="BW68" s="23339"/>
      <c r="BX68" s="23339"/>
      <c r="BY68" s="23161">
        <v>0</v>
      </c>
    </row>
    <row s="61685" customFormat="1" customHeight="1" ht="0.75">
      <c r="A69" s="23531"/>
      <c r="B69" s="23531"/>
      <c r="C69" s="23531"/>
      <c r="D69" s="23531"/>
      <c r="E69" s="23341">
        <v>1</v>
      </c>
      <c r="F69" s="23329"/>
      <c r="G69" s="23531"/>
      <c r="H69" s="23531"/>
      <c r="I69" s="23531"/>
      <c r="J69" s="23531"/>
      <c r="K69" s="23531"/>
      <c r="L69" s="23532"/>
      <c r="M69" s="23539"/>
      <c r="N69" s="23539"/>
      <c r="O69" s="23161"/>
      <c r="P69" s="23534"/>
      <c r="Q69" s="23535"/>
      <c r="R69" s="23534"/>
      <c r="S69" s="23540"/>
      <c r="T69" s="23541" t="s">
        <v>172</v>
      </c>
      <c r="U69" s="23121"/>
      <c r="V69" s="23121"/>
      <c r="W69" s="23121"/>
      <c r="X69" s="23121"/>
      <c r="Y69" s="23121"/>
      <c r="Z69" s="23121"/>
      <c r="AA69" s="23121"/>
      <c r="AB69" s="23121"/>
      <c r="AC69" s="23121"/>
      <c r="AD69" s="23121"/>
      <c r="AE69" s="23121"/>
      <c r="AF69" s="23121"/>
      <c r="AG69" s="23121"/>
      <c r="AH69" s="23121"/>
      <c r="AI69" s="23121"/>
      <c r="AJ69" s="23121"/>
      <c r="AK69" s="23121"/>
      <c r="AL69" s="23121"/>
      <c r="AM69" s="23121"/>
      <c r="AN69" s="23121"/>
      <c r="AO69" s="23121"/>
      <c r="AP69" s="23121"/>
      <c r="AQ69" s="23121"/>
      <c r="AR69" s="23121"/>
      <c r="AS69" s="23121"/>
      <c r="AT69" s="23121"/>
      <c r="AU69" s="23121"/>
      <c r="AV69" s="23121"/>
      <c r="AW69" s="23121"/>
      <c r="AX69" s="23121"/>
      <c r="AY69" s="23121"/>
      <c r="AZ69" s="23121"/>
      <c r="BA69" s="23121"/>
      <c r="BB69" s="23121"/>
      <c r="BC69" s="23121"/>
      <c r="BD69" s="23121"/>
      <c r="BE69" s="23121"/>
      <c r="BF69" s="23121"/>
      <c r="BG69" s="23121"/>
      <c r="BH69" s="23121"/>
      <c r="BI69" s="23121"/>
      <c r="BJ69" s="23121"/>
      <c r="BK69" s="23121"/>
      <c r="BL69" s="23121"/>
      <c r="BM69" s="23121"/>
      <c r="BN69" s="23121"/>
      <c r="BO69" s="23121"/>
      <c r="BP69" s="23121"/>
      <c r="BQ69" s="23121"/>
      <c r="BR69" s="23121"/>
      <c r="BS69" s="23121"/>
      <c r="BT69" s="23161"/>
      <c r="BU69" s="23339"/>
      <c r="BV69" s="23339" t="str">
        <f>IF(T69="","",T69)</f>
        <v>Добавить централизованную систему для дифференциации</v>
      </c>
      <c r="BW69" s="23339"/>
      <c r="BX69" s="23339"/>
      <c r="BY69" s="23161">
        <v>0</v>
      </c>
    </row>
    <row s="61685" customFormat="1" customHeight="1" ht="0.75">
      <c r="A70" s="23531"/>
      <c r="B70" s="23531"/>
      <c r="C70" s="23531"/>
      <c r="D70" s="23531"/>
      <c r="E70" s="23329">
        <v>1</v>
      </c>
      <c r="F70" s="23531"/>
      <c r="G70" s="23531"/>
      <c r="H70" s="23531"/>
      <c r="I70" s="23531"/>
      <c r="J70" s="23531"/>
      <c r="K70" s="23531"/>
      <c r="L70" s="23532"/>
      <c r="M70" s="23539"/>
      <c r="N70" s="23539"/>
      <c r="O70" s="23161"/>
      <c r="P70" s="23534"/>
      <c r="Q70" s="23535"/>
      <c r="R70" s="23534"/>
      <c r="S70" s="23540"/>
      <c r="T70" s="23543" t="s">
        <v>173</v>
      </c>
      <c r="U70" s="23121"/>
      <c r="V70" s="23121"/>
      <c r="W70" s="23121"/>
      <c r="X70" s="23121"/>
      <c r="Y70" s="23121"/>
      <c r="Z70" s="23121"/>
      <c r="AA70" s="23121"/>
      <c r="AB70" s="23121"/>
      <c r="AC70" s="23121"/>
      <c r="AD70" s="23121"/>
      <c r="AE70" s="23121"/>
      <c r="AF70" s="23121"/>
      <c r="AG70" s="23121"/>
      <c r="AH70" s="23121"/>
      <c r="AI70" s="23121"/>
      <c r="AJ70" s="23121"/>
      <c r="AK70" s="23121"/>
      <c r="AL70" s="23121"/>
      <c r="AM70" s="23121"/>
      <c r="AN70" s="23121"/>
      <c r="AO70" s="23121"/>
      <c r="AP70" s="23121"/>
      <c r="AQ70" s="23121"/>
      <c r="AR70" s="23121"/>
      <c r="AS70" s="23121"/>
      <c r="AT70" s="23121"/>
      <c r="AU70" s="23121"/>
      <c r="AV70" s="23121"/>
      <c r="AW70" s="23121"/>
      <c r="AX70" s="23121"/>
      <c r="AY70" s="23121"/>
      <c r="AZ70" s="23121"/>
      <c r="BA70" s="23121"/>
      <c r="BB70" s="23121"/>
      <c r="BC70" s="23121"/>
      <c r="BD70" s="23121"/>
      <c r="BE70" s="23121"/>
      <c r="BF70" s="23121"/>
      <c r="BG70" s="23121"/>
      <c r="BH70" s="23121"/>
      <c r="BI70" s="23121"/>
      <c r="BJ70" s="23121"/>
      <c r="BK70" s="23121"/>
      <c r="BL70" s="23121"/>
      <c r="BM70" s="23121"/>
      <c r="BN70" s="23121"/>
      <c r="BO70" s="23121"/>
      <c r="BP70" s="23121"/>
      <c r="BQ70" s="23121"/>
      <c r="BR70" s="23121"/>
      <c r="BS70" s="23121"/>
      <c r="BT70" s="23161"/>
      <c r="BU70" s="23339"/>
      <c r="BV70" s="23339" t="str">
        <f>IF(T70="","",T70)</f>
        <v>Добавить территорию для дифференциации</v>
      </c>
      <c r="BW70" s="23339"/>
      <c r="BX70" s="23339"/>
      <c r="BY70" s="23161">
        <v>0</v>
      </c>
    </row>
    <row s="63225" customFormat="1" customHeight="1" ht="21">
      <c r="A71" s="23328" t="s">
        <v>201</v>
      </c>
      <c r="B71" s="23328"/>
      <c r="C71" s="23328"/>
      <c r="D71" s="23328"/>
      <c r="E71" s="23329" t="s">
        <v>91</v>
      </c>
      <c r="F71" s="23328"/>
      <c r="G71" s="23328"/>
      <c r="H71" s="23328"/>
      <c r="I71" s="23328"/>
      <c r="J71" s="23328"/>
      <c r="K71" s="23328"/>
      <c r="L71" s="23330"/>
      <c r="M71" s="23331"/>
      <c r="N71" s="23331"/>
      <c r="O71" s="23331"/>
      <c r="P71" s="23332"/>
      <c r="Q71" s="23333"/>
      <c r="R71" s="23334"/>
      <c r="S71" s="23335" t="str">
        <f>INDEX(PT_DIFFERENTIATION_NUM_NTAR,MATCH(A71,PT_DIFFERENTIATION_NTAR_ID,0))</f>
        <v>3</v>
      </c>
      <c r="T71" s="23336" t="s">
        <v>131</v>
      </c>
      <c r="U71" s="23337"/>
      <c r="V71" s="22958"/>
      <c r="W71" s="22959"/>
      <c r="X71" s="22959"/>
      <c r="Y71" s="22959"/>
      <c r="Z71" s="22959"/>
      <c r="AA71" s="22959"/>
      <c r="AB71" s="22959"/>
      <c r="AC71" s="22960"/>
      <c r="AD71" s="22958" t="str">
        <f>INDEX(PT_DIFFERENTIATION_NTAR,MATCH(A71,PT_DIFFERENTIATION_NTAR_ID,0))</f>
        <v>Тариф на тепловую энергию, поставляемую потребителям АО "ДГК" на территории Партизанского городского округа Приморского края</v>
      </c>
      <c r="AE71" s="22959"/>
      <c r="AF71" s="22959"/>
      <c r="AG71" s="22959"/>
      <c r="AH71" s="22959"/>
      <c r="AI71" s="22959"/>
      <c r="AJ71" s="22959"/>
      <c r="AK71" s="22959"/>
      <c r="AL71" s="22958"/>
      <c r="AM71" s="22959"/>
      <c r="AN71" s="22959"/>
      <c r="AO71" s="22959"/>
      <c r="AP71" s="22959"/>
      <c r="AQ71" s="22959"/>
      <c r="AR71" s="22959"/>
      <c r="AS71" s="22960"/>
      <c r="AT71" s="22958"/>
      <c r="AU71" s="22959"/>
      <c r="AV71" s="22959"/>
      <c r="AW71" s="22959"/>
      <c r="AX71" s="22959"/>
      <c r="AY71" s="22959"/>
      <c r="AZ71" s="22959"/>
      <c r="BA71" s="22960"/>
      <c r="BB71" s="22958"/>
      <c r="BC71" s="22959"/>
      <c r="BD71" s="22959"/>
      <c r="BE71" s="22959"/>
      <c r="BF71" s="22959"/>
      <c r="BG71" s="22959"/>
      <c r="BH71" s="22959"/>
      <c r="BI71" s="22960"/>
      <c r="BJ71" s="22958"/>
      <c r="BK71" s="22959"/>
      <c r="BL71" s="22959"/>
      <c r="BM71" s="22959"/>
      <c r="BN71" s="22959"/>
      <c r="BO71" s="22959"/>
      <c r="BP71" s="22959"/>
      <c r="BQ71" s="22960"/>
      <c r="BR71" s="22960"/>
      <c r="BS71" s="23338" t="s">
        <v>471</v>
      </c>
      <c r="BT71" s="23161"/>
      <c r="BU71" s="23339"/>
      <c r="BV71" s="23339" t="str">
        <f>IF(T71="","",T71)</f>
        <v>Наименование тарифа</v>
      </c>
      <c r="BW71" s="23339"/>
      <c r="BX71" s="23339"/>
      <c r="BY71" s="22944">
        <v>0</v>
      </c>
    </row>
    <row s="63225" customFormat="1" customHeight="1" ht="21">
      <c r="A72" s="23328"/>
      <c r="B72" s="23328" t="s">
        <v>202</v>
      </c>
      <c r="C72" s="23328"/>
      <c r="D72" s="23328"/>
      <c r="E72" s="23341" t="s">
        <v>103</v>
      </c>
      <c r="F72" s="23329">
        <v>1</v>
      </c>
      <c r="G72" s="23328"/>
      <c r="H72" s="23328"/>
      <c r="I72" s="23328"/>
      <c r="J72" s="23328"/>
      <c r="K72" s="23328"/>
      <c r="L72" s="23330"/>
      <c r="M72" s="23331"/>
      <c r="N72" s="23331"/>
      <c r="O72" s="23331"/>
      <c r="P72" s="23342"/>
      <c r="Q72" s="23343"/>
      <c r="R72" s="23344"/>
      <c r="S72" s="23335" t="str">
        <f>INDEX(PT_DIFFERENTIATION_NUM_TER,MATCH(B72,PT_DIFFERENTIATION_TER_ID,0))</f>
        <v>3.1</v>
      </c>
      <c r="T72" s="23345" t="s">
        <v>472</v>
      </c>
      <c r="U72" s="23337"/>
      <c r="V72" s="22958"/>
      <c r="W72" s="22959"/>
      <c r="X72" s="22959"/>
      <c r="Y72" s="22959"/>
      <c r="Z72" s="22959"/>
      <c r="AA72" s="22959"/>
      <c r="AB72" s="22959"/>
      <c r="AC72" s="22960"/>
      <c r="AD72" s="22958" t="str">
        <f>INDEX(PT_DIFFERENTIATION_TER,MATCH(B72,PT_DIFFERENTIATION_TER_ID,0))</f>
        <v>Территория 3</v>
      </c>
      <c r="AE72" s="22959"/>
      <c r="AF72" s="22959"/>
      <c r="AG72" s="22959"/>
      <c r="AH72" s="22959"/>
      <c r="AI72" s="22959"/>
      <c r="AJ72" s="22959"/>
      <c r="AK72" s="22959"/>
      <c r="AL72" s="22958"/>
      <c r="AM72" s="22959"/>
      <c r="AN72" s="22959"/>
      <c r="AO72" s="22959"/>
      <c r="AP72" s="22959"/>
      <c r="AQ72" s="22959"/>
      <c r="AR72" s="22959"/>
      <c r="AS72" s="22960"/>
      <c r="AT72" s="22958"/>
      <c r="AU72" s="22959"/>
      <c r="AV72" s="22959"/>
      <c r="AW72" s="22959"/>
      <c r="AX72" s="22959"/>
      <c r="AY72" s="22959"/>
      <c r="AZ72" s="22959"/>
      <c r="BA72" s="22960"/>
      <c r="BB72" s="22958"/>
      <c r="BC72" s="22959"/>
      <c r="BD72" s="22959"/>
      <c r="BE72" s="22959"/>
      <c r="BF72" s="22959"/>
      <c r="BG72" s="22959"/>
      <c r="BH72" s="22959"/>
      <c r="BI72" s="22960"/>
      <c r="BJ72" s="22958"/>
      <c r="BK72" s="22959"/>
      <c r="BL72" s="22959"/>
      <c r="BM72" s="22959"/>
      <c r="BN72" s="22959"/>
      <c r="BO72" s="22959"/>
      <c r="BP72" s="22959"/>
      <c r="BQ72" s="22960"/>
      <c r="BR72" s="22960"/>
      <c r="BS72" s="23338" t="s">
        <v>473</v>
      </c>
      <c r="BT72" s="23161"/>
      <c r="BU72" s="23339"/>
      <c r="BV72" s="23339" t="str">
        <f>IF(T72="","",T72)</f>
        <v>Территория действия тарифа</v>
      </c>
      <c r="BW72" s="23339"/>
      <c r="BX72" s="23339"/>
      <c r="BY72" s="22944">
        <v>0</v>
      </c>
    </row>
    <row s="63225" customFormat="1" customHeight="1" ht="23.25">
      <c r="A73" s="23328"/>
      <c r="B73" s="23328"/>
      <c r="C73" s="23328" t="s">
        <v>203</v>
      </c>
      <c r="D73" s="23328"/>
      <c r="E73" s="23341" t="s">
        <v>103</v>
      </c>
      <c r="F73" s="23341"/>
      <c r="G73" s="23329">
        <v>1</v>
      </c>
      <c r="H73" s="23328"/>
      <c r="I73" s="23328"/>
      <c r="J73" s="23328"/>
      <c r="K73" s="23328"/>
      <c r="L73" s="23330"/>
      <c r="M73" s="23331"/>
      <c r="N73" s="23331"/>
      <c r="O73" s="23331"/>
      <c r="P73" s="23347"/>
      <c r="Q73" s="23343"/>
      <c r="R73" s="23344"/>
      <c r="S73" s="23335" t="str">
        <f>INDEX(PT_DIFFERENTIATION_NUM_CS,MATCH(C73,PT_DIFFERENTIATION_CS_ID,0))</f>
        <v>3.1.1</v>
      </c>
      <c r="T73" s="23348" t="s">
        <v>474</v>
      </c>
      <c r="U73" s="23337"/>
      <c r="V73" s="22958"/>
      <c r="W73" s="22959"/>
      <c r="X73" s="22959"/>
      <c r="Y73" s="22959"/>
      <c r="Z73" s="22959"/>
      <c r="AA73" s="22959"/>
      <c r="AB73" s="22959"/>
      <c r="AC73" s="22960"/>
      <c r="AD73" s="22958" t="str">
        <f>INDEX(PT_DIFFERENTIATION_CS,MATCH(C73,PT_DIFFERENTIATION_CS_ID,0))</f>
        <v>без дифференциации</v>
      </c>
      <c r="AE73" s="22959"/>
      <c r="AF73" s="22959"/>
      <c r="AG73" s="22959"/>
      <c r="AH73" s="22959"/>
      <c r="AI73" s="22959"/>
      <c r="AJ73" s="22959"/>
      <c r="AK73" s="22959"/>
      <c r="AL73" s="22958"/>
      <c r="AM73" s="22959"/>
      <c r="AN73" s="22959"/>
      <c r="AO73" s="22959"/>
      <c r="AP73" s="22959"/>
      <c r="AQ73" s="22959"/>
      <c r="AR73" s="22959"/>
      <c r="AS73" s="22960"/>
      <c r="AT73" s="22958"/>
      <c r="AU73" s="22959"/>
      <c r="AV73" s="22959"/>
      <c r="AW73" s="22959"/>
      <c r="AX73" s="22959"/>
      <c r="AY73" s="22959"/>
      <c r="AZ73" s="22959"/>
      <c r="BA73" s="22960"/>
      <c r="BB73" s="22958"/>
      <c r="BC73" s="22959"/>
      <c r="BD73" s="22959"/>
      <c r="BE73" s="22959"/>
      <c r="BF73" s="22959"/>
      <c r="BG73" s="22959"/>
      <c r="BH73" s="22959"/>
      <c r="BI73" s="22960"/>
      <c r="BJ73" s="22958"/>
      <c r="BK73" s="22959"/>
      <c r="BL73" s="22959"/>
      <c r="BM73" s="22959"/>
      <c r="BN73" s="22959"/>
      <c r="BO73" s="22959"/>
      <c r="BP73" s="22959"/>
      <c r="BQ73" s="22960"/>
      <c r="BR73" s="22960"/>
      <c r="BS73" s="23338" t="s">
        <v>475</v>
      </c>
      <c r="BT73" s="23161"/>
      <c r="BU73" s="23339"/>
      <c r="BV73" s="23339" t="str">
        <f>IF(T73="","",T73)</f>
        <v>Наименование системы теплоснабжения </v>
      </c>
      <c r="BW73" s="23339"/>
      <c r="BX73" s="23339"/>
      <c r="BY73" s="22944">
        <v>0</v>
      </c>
    </row>
    <row s="63225" customFormat="1" customHeight="1" ht="21">
      <c r="A74" s="23328"/>
      <c r="B74" s="23328"/>
      <c r="C74" s="23328"/>
      <c r="D74" s="23328" t="s">
        <v>204</v>
      </c>
      <c r="E74" s="23341" t="s">
        <v>103</v>
      </c>
      <c r="F74" s="23341"/>
      <c r="G74" s="23341"/>
      <c r="H74" s="23329">
        <v>1</v>
      </c>
      <c r="I74" s="23328"/>
      <c r="J74" s="23328"/>
      <c r="K74" s="23328"/>
      <c r="L74" s="23330"/>
      <c r="M74" s="23331"/>
      <c r="N74" s="23331"/>
      <c r="O74" s="23331"/>
      <c r="P74" s="23347"/>
      <c r="Q74" s="23343"/>
      <c r="R74" s="23344"/>
      <c r="S74" s="23335" t="str">
        <f>INDEX(PT_DIFFERENTIATION_NUM_IST_TE,MATCH(D74,PT_DIFFERENTIATION_IST_TE_ID,0))</f>
        <v>3.1.1.1</v>
      </c>
      <c r="T74" s="23350" t="s">
        <v>476</v>
      </c>
      <c r="U74" s="23337"/>
      <c r="V74" s="22958"/>
      <c r="W74" s="22959"/>
      <c r="X74" s="22959"/>
      <c r="Y74" s="22959"/>
      <c r="Z74" s="22959"/>
      <c r="AA74" s="22959"/>
      <c r="AB74" s="22959"/>
      <c r="AC74" s="22960"/>
      <c r="AD74" s="22958" t="str">
        <f>INDEX(PT_DIFFERENTIATION_IST_TE,MATCH(D74,PT_DIFFERENTIATION_IST_TE_ID,0))</f>
        <v>без дифференциации</v>
      </c>
      <c r="AE74" s="22959"/>
      <c r="AF74" s="22959"/>
      <c r="AG74" s="22959"/>
      <c r="AH74" s="22959"/>
      <c r="AI74" s="22959"/>
      <c r="AJ74" s="22959"/>
      <c r="AK74" s="22959"/>
      <c r="AL74" s="22958"/>
      <c r="AM74" s="22959"/>
      <c r="AN74" s="22959"/>
      <c r="AO74" s="22959"/>
      <c r="AP74" s="22959"/>
      <c r="AQ74" s="22959"/>
      <c r="AR74" s="22959"/>
      <c r="AS74" s="22960"/>
      <c r="AT74" s="22958"/>
      <c r="AU74" s="22959"/>
      <c r="AV74" s="22959"/>
      <c r="AW74" s="22959"/>
      <c r="AX74" s="22959"/>
      <c r="AY74" s="22959"/>
      <c r="AZ74" s="22959"/>
      <c r="BA74" s="22960"/>
      <c r="BB74" s="22958"/>
      <c r="BC74" s="22959"/>
      <c r="BD74" s="22959"/>
      <c r="BE74" s="22959"/>
      <c r="BF74" s="22959"/>
      <c r="BG74" s="22959"/>
      <c r="BH74" s="22959"/>
      <c r="BI74" s="22960"/>
      <c r="BJ74" s="22958"/>
      <c r="BK74" s="22959"/>
      <c r="BL74" s="22959"/>
      <c r="BM74" s="22959"/>
      <c r="BN74" s="22959"/>
      <c r="BO74" s="22959"/>
      <c r="BP74" s="22959"/>
      <c r="BQ74" s="22960"/>
      <c r="BR74" s="22960"/>
      <c r="BS74" s="23338" t="s">
        <v>477</v>
      </c>
      <c r="BT74" s="23161"/>
      <c r="BU74" s="23339"/>
      <c r="BV74" s="23339" t="str">
        <f>IF(T74="","",T74)</f>
        <v>Источник тепловой энергии  </v>
      </c>
      <c r="BW74" s="23339"/>
      <c r="BX74" s="23339"/>
      <c r="BY74" s="22944">
        <v>0</v>
      </c>
    </row>
    <row s="63225" customFormat="1" customHeight="1" ht="47.25">
      <c r="A75" s="23328"/>
      <c r="B75" s="23328"/>
      <c r="C75" s="23328"/>
      <c r="D75" s="23328"/>
      <c r="E75" s="23341" t="s">
        <v>103</v>
      </c>
      <c r="F75" s="23341"/>
      <c r="G75" s="23341"/>
      <c r="H75" s="23341"/>
      <c r="I75" s="23352" t="str">
        <f>S74&amp;".1"</f>
        <v>3.1.1.1.1</v>
      </c>
      <c r="J75" s="23328"/>
      <c r="K75" s="23328"/>
      <c r="L75" s="23330" t="s">
        <v>478</v>
      </c>
      <c r="M75" s="23133"/>
      <c r="N75" s="23353"/>
      <c r="O75" s="23353"/>
      <c r="P75" s="23354">
        <v>1</v>
      </c>
      <c r="Q75" s="23354"/>
      <c r="R75" s="23355"/>
      <c r="S75" s="23335" t="str">
        <f>$I75</f>
        <v>3.1.1.1.1</v>
      </c>
      <c r="T75" s="23356" t="s">
        <v>479</v>
      </c>
      <c r="U75" s="23337"/>
      <c r="V75" s="22979"/>
      <c r="W75" s="22980"/>
      <c r="X75" s="22980"/>
      <c r="Y75" s="22980"/>
      <c r="Z75" s="22980"/>
      <c r="AA75" s="22980"/>
      <c r="AB75" s="22980"/>
      <c r="AC75" s="22981"/>
      <c r="AD75" s="22979" t="s">
        <v>521</v>
      </c>
      <c r="AE75" s="22980"/>
      <c r="AF75" s="22980"/>
      <c r="AG75" s="22980"/>
      <c r="AH75" s="22980"/>
      <c r="AI75" s="22980"/>
      <c r="AJ75" s="22980"/>
      <c r="AK75" s="22980"/>
      <c r="AL75" s="22979"/>
      <c r="AM75" s="22980"/>
      <c r="AN75" s="22980"/>
      <c r="AO75" s="22980"/>
      <c r="AP75" s="22980"/>
      <c r="AQ75" s="22980"/>
      <c r="AR75" s="22980"/>
      <c r="AS75" s="22981"/>
      <c r="AT75" s="22979"/>
      <c r="AU75" s="22980"/>
      <c r="AV75" s="22980"/>
      <c r="AW75" s="22980"/>
      <c r="AX75" s="22980"/>
      <c r="AY75" s="22980"/>
      <c r="AZ75" s="22980"/>
      <c r="BA75" s="22981"/>
      <c r="BB75" s="22979"/>
      <c r="BC75" s="22980"/>
      <c r="BD75" s="22980"/>
      <c r="BE75" s="22980"/>
      <c r="BF75" s="22980"/>
      <c r="BG75" s="22980"/>
      <c r="BH75" s="22980"/>
      <c r="BI75" s="22981"/>
      <c r="BJ75" s="22979"/>
      <c r="BK75" s="22980"/>
      <c r="BL75" s="22980"/>
      <c r="BM75" s="22980"/>
      <c r="BN75" s="22980"/>
      <c r="BO75" s="22980"/>
      <c r="BP75" s="22980"/>
      <c r="BQ75" s="22981"/>
      <c r="BR75" s="22981"/>
      <c r="BS75" s="23338" t="s">
        <v>480</v>
      </c>
      <c r="BT75" s="23161"/>
      <c r="BU75" s="23339"/>
      <c r="BV75" s="23339" t="str">
        <f>IF(T75="","",T75)</f>
        <v>Схема подключения теплопотребляющей установки к коллектору источника тепловой энергии</v>
      </c>
      <c r="BW75" s="23339"/>
      <c r="BX75" s="23339"/>
      <c r="BY75" s="22944">
        <v>0</v>
      </c>
    </row>
    <row s="63225" customFormat="1" customHeight="1" ht="21">
      <c r="A76" s="23328"/>
      <c r="B76" s="23328"/>
      <c r="C76" s="23328"/>
      <c r="D76" s="23328"/>
      <c r="E76" s="23341" t="s">
        <v>103</v>
      </c>
      <c r="F76" s="23341"/>
      <c r="G76" s="23341"/>
      <c r="H76" s="23341"/>
      <c r="I76" s="23358"/>
      <c r="J76" s="23352" t="str">
        <f>I75&amp;".1"</f>
        <v>3.1.1.1.1.1</v>
      </c>
      <c r="K76" s="23328"/>
      <c r="L76" s="23330" t="s">
        <v>481</v>
      </c>
      <c r="M76" s="23133"/>
      <c r="N76" s="23133"/>
      <c r="O76" s="23353"/>
      <c r="P76" s="23354"/>
      <c r="Q76" s="23354">
        <v>1</v>
      </c>
      <c r="R76" s="23359"/>
      <c r="S76" s="23335" t="str">
        <f>$J76</f>
        <v>3.1.1.1.1.1</v>
      </c>
      <c r="T76" s="23360" t="s">
        <v>482</v>
      </c>
      <c r="U76" s="23337"/>
      <c r="V76" s="22979"/>
      <c r="W76" s="22980"/>
      <c r="X76" s="22980"/>
      <c r="Y76" s="22980"/>
      <c r="Z76" s="22980"/>
      <c r="AA76" s="22980"/>
      <c r="AB76" s="22980"/>
      <c r="AC76" s="22981"/>
      <c r="AD76" s="22979" t="s">
        <v>521</v>
      </c>
      <c r="AE76" s="22980"/>
      <c r="AF76" s="22980"/>
      <c r="AG76" s="22980"/>
      <c r="AH76" s="22980"/>
      <c r="AI76" s="22980"/>
      <c r="AJ76" s="22980"/>
      <c r="AK76" s="22980"/>
      <c r="AL76" s="22979"/>
      <c r="AM76" s="22980"/>
      <c r="AN76" s="22980"/>
      <c r="AO76" s="22980"/>
      <c r="AP76" s="22980"/>
      <c r="AQ76" s="22980"/>
      <c r="AR76" s="22980"/>
      <c r="AS76" s="22981"/>
      <c r="AT76" s="22979"/>
      <c r="AU76" s="22980"/>
      <c r="AV76" s="22980"/>
      <c r="AW76" s="22980"/>
      <c r="AX76" s="22980"/>
      <c r="AY76" s="22980"/>
      <c r="AZ76" s="22980"/>
      <c r="BA76" s="22981"/>
      <c r="BB76" s="22979"/>
      <c r="BC76" s="22980"/>
      <c r="BD76" s="22980"/>
      <c r="BE76" s="22980"/>
      <c r="BF76" s="22980"/>
      <c r="BG76" s="22980"/>
      <c r="BH76" s="22980"/>
      <c r="BI76" s="22981"/>
      <c r="BJ76" s="22979"/>
      <c r="BK76" s="22980"/>
      <c r="BL76" s="22980"/>
      <c r="BM76" s="22980"/>
      <c r="BN76" s="22980"/>
      <c r="BO76" s="22980"/>
      <c r="BP76" s="22980"/>
      <c r="BQ76" s="22981"/>
      <c r="BR76" s="22981"/>
      <c r="BS76" s="23338" t="s">
        <v>483</v>
      </c>
      <c r="BT76" s="23161"/>
      <c r="BU76" s="23339"/>
      <c r="BV76" s="23339" t="str">
        <f>IF(T76="","",T76)</f>
        <v>Группа потребителей</v>
      </c>
      <c r="BW76" s="23339"/>
      <c r="BX76" s="23339"/>
      <c r="BY76" s="22944">
        <v>0</v>
      </c>
    </row>
    <row s="63225" customFormat="1" customHeight="1" ht="21">
      <c r="A77" s="23328"/>
      <c r="B77" s="23328"/>
      <c r="C77" s="23328"/>
      <c r="D77" s="23328"/>
      <c r="E77" s="23341" t="s">
        <v>103</v>
      </c>
      <c r="F77" s="23341"/>
      <c r="G77" s="23341"/>
      <c r="H77" s="23341"/>
      <c r="I77" s="23358"/>
      <c r="J77" s="23358"/>
      <c r="K77" s="23352" t="str">
        <f>J76&amp;".1"</f>
        <v>3.1.1.1.1.1.1</v>
      </c>
      <c r="L77" s="23330" t="s">
        <v>484</v>
      </c>
      <c r="M77" s="23133"/>
      <c r="N77" s="23133"/>
      <c r="O77" s="23133"/>
      <c r="P77" s="23354"/>
      <c r="Q77" s="23354"/>
      <c r="R77" s="23359">
        <v>1</v>
      </c>
      <c r="S77" s="23335" t="str">
        <f>$K77</f>
        <v>3.1.1.1.1.1.1</v>
      </c>
      <c r="T77" s="23362" t="s">
        <v>522</v>
      </c>
      <c r="U77" s="23337"/>
      <c r="V77" s="22991"/>
      <c r="W77" s="22992"/>
      <c r="X77" s="22991"/>
      <c r="Y77" s="22993"/>
      <c r="Z77" s="22994"/>
      <c r="AA77" s="22349" t="s">
        <v>67</v>
      </c>
      <c r="AB77" s="22994"/>
      <c r="AC77" s="22349" t="s">
        <v>67</v>
      </c>
      <c r="AD77" s="22991">
        <v>10832.43</v>
      </c>
      <c r="AE77" s="22992"/>
      <c r="AF77" s="22991">
        <v>1415.15</v>
      </c>
      <c r="AG77" s="22993">
        <v>1075.201</v>
      </c>
      <c r="AH77" s="22994">
        <v>45292</v>
      </c>
      <c r="AI77" s="22349" t="s">
        <v>67</v>
      </c>
      <c r="AJ77" s="22994">
        <v>45657</v>
      </c>
      <c r="AK77" s="22349" t="s">
        <v>67</v>
      </c>
      <c r="AL77" s="22991">
        <v>14816.91</v>
      </c>
      <c r="AM77" s="22992"/>
      <c r="AN77" s="22991">
        <v>1705.28</v>
      </c>
      <c r="AO77" s="22993">
        <v>1387.97683</v>
      </c>
      <c r="AP77" s="22994">
        <v>45658</v>
      </c>
      <c r="AQ77" s="22349" t="s">
        <v>67</v>
      </c>
      <c r="AR77" s="22994">
        <v>46022</v>
      </c>
      <c r="AS77" s="22349" t="s">
        <v>67</v>
      </c>
      <c r="AT77" s="22991">
        <v>14131.45</v>
      </c>
      <c r="AU77" s="22992"/>
      <c r="AV77" s="22991">
        <v>1908.8</v>
      </c>
      <c r="AW77" s="22993">
        <v>1063.69182</v>
      </c>
      <c r="AX77" s="22994">
        <v>46023</v>
      </c>
      <c r="AY77" s="22349" t="s">
        <v>67</v>
      </c>
      <c r="AZ77" s="22994">
        <v>46387</v>
      </c>
      <c r="BA77" s="22349" t="s">
        <v>67</v>
      </c>
      <c r="BB77" s="22991">
        <v>9422.16</v>
      </c>
      <c r="BC77" s="22992"/>
      <c r="BD77" s="22991">
        <v>1600.11</v>
      </c>
      <c r="BE77" s="22993">
        <v>893.069</v>
      </c>
      <c r="BF77" s="22994">
        <v>46388</v>
      </c>
      <c r="BG77" s="22349" t="s">
        <v>67</v>
      </c>
      <c r="BH77" s="22994">
        <v>46752</v>
      </c>
      <c r="BI77" s="22349" t="s">
        <v>67</v>
      </c>
      <c r="BJ77" s="22991">
        <v>9707.9</v>
      </c>
      <c r="BK77" s="22992"/>
      <c r="BL77" s="22991">
        <v>1667.04</v>
      </c>
      <c r="BM77" s="22993">
        <v>918.05</v>
      </c>
      <c r="BN77" s="22994">
        <v>46753</v>
      </c>
      <c r="BO77" s="22349" t="s">
        <v>67</v>
      </c>
      <c r="BP77" s="22994">
        <v>47118</v>
      </c>
      <c r="BQ77" s="22349" t="s">
        <v>67</v>
      </c>
      <c r="BR77" s="22992"/>
      <c r="BS77" s="23363" t="s">
        <v>485</v>
      </c>
      <c r="BT77" s="23161">
        <f>STRCHECKDATE(V78:BR78)</f>
      </c>
      <c r="BU77" s="23339"/>
      <c r="BV77" s="23339" t="str">
        <f>IF(T77="","",T77)</f>
        <v>вода</v>
      </c>
      <c r="BW77" s="23339"/>
      <c r="BX77" s="23339"/>
      <c r="BY77" s="22944">
        <v>0</v>
      </c>
    </row>
    <row s="63225" customFormat="1" customHeight="1" ht="0.75">
      <c r="A78" s="23328"/>
      <c r="B78" s="23328"/>
      <c r="C78" s="23328"/>
      <c r="D78" s="23328"/>
      <c r="E78" s="23341" t="s">
        <v>103</v>
      </c>
      <c r="F78" s="23341"/>
      <c r="G78" s="23341"/>
      <c r="H78" s="23341"/>
      <c r="I78" s="23358"/>
      <c r="J78" s="23358"/>
      <c r="K78" s="23352"/>
      <c r="L78" s="23330"/>
      <c r="M78" s="23133"/>
      <c r="N78" s="23133"/>
      <c r="O78" s="23133"/>
      <c r="P78" s="23354"/>
      <c r="Q78" s="23354"/>
      <c r="R78" s="23359"/>
      <c r="S78" s="23365"/>
      <c r="T78" s="23337"/>
      <c r="U78" s="23337"/>
      <c r="V78" s="22992"/>
      <c r="W78" s="22992"/>
      <c r="X78" s="22992"/>
      <c r="Y78" s="22999" t="str">
        <f>Z77&amp;"-"&amp;AB77</f>
        <v>-</v>
      </c>
      <c r="Z78" s="23000"/>
      <c r="AA78" s="22349"/>
      <c r="AB78" s="23000"/>
      <c r="AC78" s="22349"/>
      <c r="AD78" s="22992"/>
      <c r="AE78" s="22992"/>
      <c r="AF78" s="22992"/>
      <c r="AG78" s="22999" t="str">
        <f>AH77&amp;"-"&amp;AJ77</f>
        <v>45292-45657</v>
      </c>
      <c r="AH78" s="23000"/>
      <c r="AI78" s="22349"/>
      <c r="AJ78" s="23000"/>
      <c r="AK78" s="22349"/>
      <c r="AL78" s="22992"/>
      <c r="AM78" s="22992"/>
      <c r="AN78" s="22992"/>
      <c r="AO78" s="22999" t="str">
        <f>AP77&amp;"-"&amp;AR77</f>
        <v>45658-46022</v>
      </c>
      <c r="AP78" s="23000"/>
      <c r="AQ78" s="22349"/>
      <c r="AR78" s="23000"/>
      <c r="AS78" s="22349"/>
      <c r="AT78" s="22992"/>
      <c r="AU78" s="22992"/>
      <c r="AV78" s="22992"/>
      <c r="AW78" s="22999" t="str">
        <f>AX77&amp;"-"&amp;AZ77</f>
        <v>46023-46387</v>
      </c>
      <c r="AX78" s="23000"/>
      <c r="AY78" s="22349"/>
      <c r="AZ78" s="23000"/>
      <c r="BA78" s="22349"/>
      <c r="BB78" s="22992"/>
      <c r="BC78" s="22992"/>
      <c r="BD78" s="22992"/>
      <c r="BE78" s="22999" t="str">
        <f>BF77&amp;"-"&amp;BH77</f>
        <v>46388-46752</v>
      </c>
      <c r="BF78" s="23000"/>
      <c r="BG78" s="22349"/>
      <c r="BH78" s="23000"/>
      <c r="BI78" s="22349"/>
      <c r="BJ78" s="22992"/>
      <c r="BK78" s="22992"/>
      <c r="BL78" s="22992"/>
      <c r="BM78" s="22999" t="str">
        <f>BN77&amp;"-"&amp;BP77</f>
        <v>46753-47118</v>
      </c>
      <c r="BN78" s="23000"/>
      <c r="BO78" s="22349"/>
      <c r="BP78" s="23000"/>
      <c r="BQ78" s="22349"/>
      <c r="BR78" s="22992"/>
      <c r="BS78" s="23366"/>
      <c r="BT78" s="23161"/>
      <c r="BU78" s="23339"/>
      <c r="BV78" s="23339" t="str">
        <f>IF(T78="","",T78)</f>
        <v/>
      </c>
      <c r="BW78" s="23339"/>
      <c r="BX78" s="23339"/>
      <c r="BY78" s="22944">
        <v>0</v>
      </c>
    </row>
    <row s="63225" customFormat="1" customHeight="1" ht="15">
      <c r="A79" s="23328"/>
      <c r="B79" s="23328"/>
      <c r="C79" s="23328"/>
      <c r="D79" s="23328"/>
      <c r="E79" s="23341" t="s">
        <v>103</v>
      </c>
      <c r="F79" s="23341"/>
      <c r="G79" s="23341"/>
      <c r="H79" s="23341"/>
      <c r="I79" s="23358"/>
      <c r="J79" s="23352"/>
      <c r="K79" s="23328"/>
      <c r="L79" s="23330"/>
      <c r="M79" s="23133"/>
      <c r="N79" s="23133"/>
      <c r="O79" s="23353"/>
      <c r="P79" s="23354"/>
      <c r="Q79" s="23354"/>
      <c r="R79" s="23355"/>
      <c r="S79" s="24108"/>
      <c r="T79" s="24109" t="s">
        <v>486</v>
      </c>
      <c r="U79" s="24110"/>
      <c r="V79" s="24111"/>
      <c r="W79" s="24112"/>
      <c r="X79" s="24113"/>
      <c r="Y79" s="24114"/>
      <c r="Z79" s="24115"/>
      <c r="AA79" s="24116"/>
      <c r="AB79" s="24117"/>
      <c r="AC79" s="24118"/>
      <c r="AD79" s="24119"/>
      <c r="AE79" s="24120"/>
      <c r="AF79" s="24121"/>
      <c r="AG79" s="24122"/>
      <c r="AH79" s="24123"/>
      <c r="AI79" s="24124"/>
      <c r="AJ79" s="24125"/>
      <c r="AK79" s="24126"/>
      <c r="AL79" s="24127"/>
      <c r="AM79" s="24128"/>
      <c r="AN79" s="24129"/>
      <c r="AO79" s="24130"/>
      <c r="AP79" s="24131"/>
      <c r="AQ79" s="24132"/>
      <c r="AR79" s="24133"/>
      <c r="AS79" s="24134"/>
      <c r="AT79" s="24135"/>
      <c r="AU79" s="24136"/>
      <c r="AV79" s="24137"/>
      <c r="AW79" s="24138"/>
      <c r="AX79" s="24139"/>
      <c r="AY79" s="24140"/>
      <c r="AZ79" s="24141"/>
      <c r="BA79" s="24142"/>
      <c r="BB79" s="24143"/>
      <c r="BC79" s="24144"/>
      <c r="BD79" s="24145"/>
      <c r="BE79" s="24146"/>
      <c r="BF79" s="24147"/>
      <c r="BG79" s="24148"/>
      <c r="BH79" s="24149"/>
      <c r="BI79" s="24150"/>
      <c r="BJ79" s="24151"/>
      <c r="BK79" s="24152"/>
      <c r="BL79" s="24153"/>
      <c r="BM79" s="24154"/>
      <c r="BN79" s="24155"/>
      <c r="BO79" s="24156"/>
      <c r="BP79" s="24157"/>
      <c r="BQ79" s="24158"/>
      <c r="BR79" s="24159"/>
      <c r="BS79" s="23420"/>
      <c r="BT79" s="23161"/>
      <c r="BU79" s="23339"/>
      <c r="BV79" s="23339" t="str">
        <f>IF(T79="","",T79)</f>
        <v>Добавить вид теплоносителя (параметры теплоносителя)</v>
      </c>
      <c r="BW79" s="23339"/>
      <c r="BX79" s="23339"/>
      <c r="BY79" s="22944">
        <v>0</v>
      </c>
    </row>
    <row s="63225" customFormat="1" customHeight="1" ht="15">
      <c r="A80" s="23328"/>
      <c r="B80" s="23328"/>
      <c r="C80" s="23328"/>
      <c r="D80" s="23328"/>
      <c r="E80" s="23341" t="s">
        <v>103</v>
      </c>
      <c r="F80" s="23341"/>
      <c r="G80" s="23341"/>
      <c r="H80" s="23341"/>
      <c r="I80" s="23352"/>
      <c r="J80" s="23328"/>
      <c r="K80" s="23328"/>
      <c r="L80" s="23330"/>
      <c r="M80" s="23133"/>
      <c r="N80" s="23353"/>
      <c r="O80" s="23353"/>
      <c r="P80" s="23354"/>
      <c r="Q80" s="23354"/>
      <c r="R80" s="23355"/>
      <c r="S80" s="24161"/>
      <c r="T80" s="24162" t="s">
        <v>487</v>
      </c>
      <c r="U80" s="24163"/>
      <c r="V80" s="24164"/>
      <c r="W80" s="24165"/>
      <c r="X80" s="24166"/>
      <c r="Y80" s="24167"/>
      <c r="Z80" s="24168"/>
      <c r="AA80" s="24169"/>
      <c r="AB80" s="24170"/>
      <c r="AC80" s="24171"/>
      <c r="AD80" s="24172"/>
      <c r="AE80" s="24173"/>
      <c r="AF80" s="24174"/>
      <c r="AG80" s="24175"/>
      <c r="AH80" s="24176"/>
      <c r="AI80" s="24177"/>
      <c r="AJ80" s="24178"/>
      <c r="AK80" s="24179"/>
      <c r="AL80" s="24180"/>
      <c r="AM80" s="24181"/>
      <c r="AN80" s="24182"/>
      <c r="AO80" s="24183"/>
      <c r="AP80" s="24184"/>
      <c r="AQ80" s="24185"/>
      <c r="AR80" s="24186"/>
      <c r="AS80" s="24187"/>
      <c r="AT80" s="24188"/>
      <c r="AU80" s="24189"/>
      <c r="AV80" s="24190"/>
      <c r="AW80" s="24191"/>
      <c r="AX80" s="24192"/>
      <c r="AY80" s="24193"/>
      <c r="AZ80" s="24194"/>
      <c r="BA80" s="24195"/>
      <c r="BB80" s="24196"/>
      <c r="BC80" s="24197"/>
      <c r="BD80" s="24198"/>
      <c r="BE80" s="24199"/>
      <c r="BF80" s="24200"/>
      <c r="BG80" s="24201"/>
      <c r="BH80" s="24202"/>
      <c r="BI80" s="24203"/>
      <c r="BJ80" s="24204"/>
      <c r="BK80" s="24205"/>
      <c r="BL80" s="24206"/>
      <c r="BM80" s="24207"/>
      <c r="BN80" s="24208"/>
      <c r="BO80" s="24209"/>
      <c r="BP80" s="24210"/>
      <c r="BQ80" s="24211"/>
      <c r="BR80" s="24212"/>
      <c r="BS80" s="24213"/>
      <c r="BT80" s="23161"/>
      <c r="BU80" s="23339"/>
      <c r="BV80" s="23339" t="str">
        <f>IF(T80="","",T80)</f>
        <v>Добавить группу потребителей</v>
      </c>
      <c r="BW80" s="23339"/>
      <c r="BX80" s="23339"/>
      <c r="BY80" s="22944">
        <v>0</v>
      </c>
    </row>
    <row s="63225" customFormat="1" customHeight="1" ht="14.25">
      <c r="A81" s="23328"/>
      <c r="B81" s="23328"/>
      <c r="C81" s="23328"/>
      <c r="D81" s="23328"/>
      <c r="E81" s="23341" t="s">
        <v>103</v>
      </c>
      <c r="F81" s="23341"/>
      <c r="G81" s="23341"/>
      <c r="H81" s="23329"/>
      <c r="I81" s="23328"/>
      <c r="J81" s="23328"/>
      <c r="K81" s="23328"/>
      <c r="L81" s="23330"/>
      <c r="M81" s="23331"/>
      <c r="N81" s="23331"/>
      <c r="O81" s="23133"/>
      <c r="P81" s="23333"/>
      <c r="Q81" s="23476"/>
      <c r="R81" s="23334"/>
      <c r="S81" s="24215"/>
      <c r="T81" s="24216" t="s">
        <v>488</v>
      </c>
      <c r="U81" s="24217"/>
      <c r="V81" s="24218"/>
      <c r="W81" s="24219"/>
      <c r="X81" s="24220"/>
      <c r="Y81" s="24221"/>
      <c r="Z81" s="24222"/>
      <c r="AA81" s="24223"/>
      <c r="AB81" s="24224"/>
      <c r="AC81" s="24225"/>
      <c r="AD81" s="24226"/>
      <c r="AE81" s="24227"/>
      <c r="AF81" s="24228"/>
      <c r="AG81" s="24229"/>
      <c r="AH81" s="24230"/>
      <c r="AI81" s="24231"/>
      <c r="AJ81" s="24232"/>
      <c r="AK81" s="24233"/>
      <c r="AL81" s="24234"/>
      <c r="AM81" s="24235"/>
      <c r="AN81" s="24236"/>
      <c r="AO81" s="24237"/>
      <c r="AP81" s="24238"/>
      <c r="AQ81" s="24239"/>
      <c r="AR81" s="24240"/>
      <c r="AS81" s="24241"/>
      <c r="AT81" s="24242"/>
      <c r="AU81" s="24243"/>
      <c r="AV81" s="24244"/>
      <c r="AW81" s="24245"/>
      <c r="AX81" s="24246"/>
      <c r="AY81" s="24247"/>
      <c r="AZ81" s="24248"/>
      <c r="BA81" s="24249"/>
      <c r="BB81" s="24250"/>
      <c r="BC81" s="24251"/>
      <c r="BD81" s="24252"/>
      <c r="BE81" s="24253"/>
      <c r="BF81" s="24254"/>
      <c r="BG81" s="24255"/>
      <c r="BH81" s="24256"/>
      <c r="BI81" s="24257"/>
      <c r="BJ81" s="24258"/>
      <c r="BK81" s="24259"/>
      <c r="BL81" s="24260"/>
      <c r="BM81" s="24261"/>
      <c r="BN81" s="24262"/>
      <c r="BO81" s="24263"/>
      <c r="BP81" s="24264"/>
      <c r="BQ81" s="24265"/>
      <c r="BR81" s="24266"/>
      <c r="BS81" s="24267"/>
      <c r="BT81" s="23161"/>
      <c r="BU81" s="23339"/>
      <c r="BV81" s="23339" t="str">
        <f>IF(T81="","",T81)</f>
        <v>Добавить схему подключения</v>
      </c>
      <c r="BW81" s="23339"/>
      <c r="BX81" s="23339"/>
      <c r="BY81" s="22944">
        <v>0</v>
      </c>
    </row>
    <row s="61685" customFormat="1" customHeight="1" ht="0.75">
      <c r="A82" s="23531"/>
      <c r="B82" s="23531"/>
      <c r="C82" s="23531"/>
      <c r="D82" s="23531"/>
      <c r="E82" s="23341" t="s">
        <v>103</v>
      </c>
      <c r="F82" s="23341"/>
      <c r="G82" s="23329"/>
      <c r="H82" s="23531"/>
      <c r="I82" s="23531"/>
      <c r="J82" s="23531"/>
      <c r="K82" s="23531"/>
      <c r="L82" s="23532"/>
      <c r="M82" s="23533"/>
      <c r="N82" s="23533"/>
      <c r="O82" s="23161"/>
      <c r="P82" s="23534"/>
      <c r="Q82" s="23535"/>
      <c r="R82" s="23534"/>
      <c r="S82" s="23536"/>
      <c r="T82" s="23537" t="s">
        <v>171</v>
      </c>
      <c r="U82" s="23115"/>
      <c r="V82" s="23115"/>
      <c r="W82" s="23115"/>
      <c r="X82" s="23115"/>
      <c r="Y82" s="23115"/>
      <c r="Z82" s="23115"/>
      <c r="AA82" s="23115"/>
      <c r="AB82" s="23115"/>
      <c r="AC82" s="23115"/>
      <c r="AD82" s="23115"/>
      <c r="AE82" s="23115"/>
      <c r="AF82" s="23115"/>
      <c r="AG82" s="23115"/>
      <c r="AH82" s="23115"/>
      <c r="AI82" s="23115"/>
      <c r="AJ82" s="23115"/>
      <c r="AK82" s="23115"/>
      <c r="AL82" s="23115"/>
      <c r="AM82" s="23115"/>
      <c r="AN82" s="23115"/>
      <c r="AO82" s="23115"/>
      <c r="AP82" s="23115"/>
      <c r="AQ82" s="23115"/>
      <c r="AR82" s="23115"/>
      <c r="AS82" s="23115"/>
      <c r="AT82" s="23115"/>
      <c r="AU82" s="23115"/>
      <c r="AV82" s="23115"/>
      <c r="AW82" s="23115"/>
      <c r="AX82" s="23115"/>
      <c r="AY82" s="23115"/>
      <c r="AZ82" s="23115"/>
      <c r="BA82" s="23115"/>
      <c r="BB82" s="23115"/>
      <c r="BC82" s="23115"/>
      <c r="BD82" s="23115"/>
      <c r="BE82" s="23115"/>
      <c r="BF82" s="23115"/>
      <c r="BG82" s="23115"/>
      <c r="BH82" s="23115"/>
      <c r="BI82" s="23115"/>
      <c r="BJ82" s="23115"/>
      <c r="BK82" s="23115"/>
      <c r="BL82" s="23115"/>
      <c r="BM82" s="23115"/>
      <c r="BN82" s="23115"/>
      <c r="BO82" s="23115"/>
      <c r="BP82" s="23115"/>
      <c r="BQ82" s="23115"/>
      <c r="BR82" s="23115"/>
      <c r="BS82" s="23115"/>
      <c r="BT82" s="23161"/>
      <c r="BU82" s="23339"/>
      <c r="BV82" s="23339" t="str">
        <f>IF(T82="","",T82)</f>
        <v>Добавить источник для дифференциации</v>
      </c>
      <c r="BW82" s="23339"/>
      <c r="BX82" s="23339"/>
      <c r="BY82" s="23161">
        <v>0</v>
      </c>
    </row>
    <row s="61685" customFormat="1" customHeight="1" ht="0.75">
      <c r="A83" s="23531"/>
      <c r="B83" s="23531"/>
      <c r="C83" s="23531"/>
      <c r="D83" s="23531"/>
      <c r="E83" s="23341" t="s">
        <v>103</v>
      </c>
      <c r="F83" s="23329"/>
      <c r="G83" s="23531"/>
      <c r="H83" s="23531"/>
      <c r="I83" s="23531"/>
      <c r="J83" s="23531"/>
      <c r="K83" s="23531"/>
      <c r="L83" s="23532"/>
      <c r="M83" s="23539"/>
      <c r="N83" s="23539"/>
      <c r="O83" s="23161"/>
      <c r="P83" s="23534"/>
      <c r="Q83" s="23535"/>
      <c r="R83" s="23534"/>
      <c r="S83" s="23540"/>
      <c r="T83" s="23541" t="s">
        <v>172</v>
      </c>
      <c r="U83" s="23121"/>
      <c r="V83" s="23121"/>
      <c r="W83" s="23121"/>
      <c r="X83" s="23121"/>
      <c r="Y83" s="23121"/>
      <c r="Z83" s="23121"/>
      <c r="AA83" s="23121"/>
      <c r="AB83" s="23121"/>
      <c r="AC83" s="23121"/>
      <c r="AD83" s="23121"/>
      <c r="AE83" s="23121"/>
      <c r="AF83" s="23121"/>
      <c r="AG83" s="23121"/>
      <c r="AH83" s="23121"/>
      <c r="AI83" s="23121"/>
      <c r="AJ83" s="23121"/>
      <c r="AK83" s="23121"/>
      <c r="AL83" s="23121"/>
      <c r="AM83" s="23121"/>
      <c r="AN83" s="23121"/>
      <c r="AO83" s="23121"/>
      <c r="AP83" s="23121"/>
      <c r="AQ83" s="23121"/>
      <c r="AR83" s="23121"/>
      <c r="AS83" s="23121"/>
      <c r="AT83" s="23121"/>
      <c r="AU83" s="23121"/>
      <c r="AV83" s="23121"/>
      <c r="AW83" s="23121"/>
      <c r="AX83" s="23121"/>
      <c r="AY83" s="23121"/>
      <c r="AZ83" s="23121"/>
      <c r="BA83" s="23121"/>
      <c r="BB83" s="23121"/>
      <c r="BC83" s="23121"/>
      <c r="BD83" s="23121"/>
      <c r="BE83" s="23121"/>
      <c r="BF83" s="23121"/>
      <c r="BG83" s="23121"/>
      <c r="BH83" s="23121"/>
      <c r="BI83" s="23121"/>
      <c r="BJ83" s="23121"/>
      <c r="BK83" s="23121"/>
      <c r="BL83" s="23121"/>
      <c r="BM83" s="23121"/>
      <c r="BN83" s="23121"/>
      <c r="BO83" s="23121"/>
      <c r="BP83" s="23121"/>
      <c r="BQ83" s="23121"/>
      <c r="BR83" s="23121"/>
      <c r="BS83" s="23121"/>
      <c r="BT83" s="23161"/>
      <c r="BU83" s="23339"/>
      <c r="BV83" s="23339" t="str">
        <f>IF(T83="","",T83)</f>
        <v>Добавить централизованную систему для дифференциации</v>
      </c>
      <c r="BW83" s="23339"/>
      <c r="BX83" s="23339"/>
      <c r="BY83" s="23161">
        <v>0</v>
      </c>
    </row>
    <row s="61685" customFormat="1" customHeight="1" ht="0.75">
      <c r="A84" s="23531"/>
      <c r="B84" s="23531"/>
      <c r="C84" s="23531"/>
      <c r="D84" s="23531"/>
      <c r="E84" s="23329" t="s">
        <v>103</v>
      </c>
      <c r="F84" s="23531"/>
      <c r="G84" s="23531"/>
      <c r="H84" s="23531"/>
      <c r="I84" s="23531"/>
      <c r="J84" s="23531"/>
      <c r="K84" s="23531"/>
      <c r="L84" s="23532"/>
      <c r="M84" s="23539"/>
      <c r="N84" s="23539"/>
      <c r="O84" s="23161"/>
      <c r="P84" s="23534"/>
      <c r="Q84" s="23535"/>
      <c r="R84" s="23534"/>
      <c r="S84" s="23540"/>
      <c r="T84" s="23543" t="s">
        <v>173</v>
      </c>
      <c r="U84" s="23121"/>
      <c r="V84" s="23121"/>
      <c r="W84" s="23121"/>
      <c r="X84" s="23121"/>
      <c r="Y84" s="23121"/>
      <c r="Z84" s="23121"/>
      <c r="AA84" s="23121"/>
      <c r="AB84" s="23121"/>
      <c r="AC84" s="23121"/>
      <c r="AD84" s="23121"/>
      <c r="AE84" s="23121"/>
      <c r="AF84" s="23121"/>
      <c r="AG84" s="23121"/>
      <c r="AH84" s="23121"/>
      <c r="AI84" s="23121"/>
      <c r="AJ84" s="23121"/>
      <c r="AK84" s="23121"/>
      <c r="AL84" s="23121"/>
      <c r="AM84" s="23121"/>
      <c r="AN84" s="23121"/>
      <c r="AO84" s="23121"/>
      <c r="AP84" s="23121"/>
      <c r="AQ84" s="23121"/>
      <c r="AR84" s="23121"/>
      <c r="AS84" s="23121"/>
      <c r="AT84" s="23121"/>
      <c r="AU84" s="23121"/>
      <c r="AV84" s="23121"/>
      <c r="AW84" s="23121"/>
      <c r="AX84" s="23121"/>
      <c r="AY84" s="23121"/>
      <c r="AZ84" s="23121"/>
      <c r="BA84" s="23121"/>
      <c r="BB84" s="23121"/>
      <c r="BC84" s="23121"/>
      <c r="BD84" s="23121"/>
      <c r="BE84" s="23121"/>
      <c r="BF84" s="23121"/>
      <c r="BG84" s="23121"/>
      <c r="BH84" s="23121"/>
      <c r="BI84" s="23121"/>
      <c r="BJ84" s="23121"/>
      <c r="BK84" s="23121"/>
      <c r="BL84" s="23121"/>
      <c r="BM84" s="23121"/>
      <c r="BN84" s="23121"/>
      <c r="BO84" s="23121"/>
      <c r="BP84" s="23121"/>
      <c r="BQ84" s="23121"/>
      <c r="BR84" s="23121"/>
      <c r="BS84" s="23121"/>
      <c r="BT84" s="23161"/>
      <c r="BU84" s="23339"/>
      <c r="BV84" s="23339" t="str">
        <f>IF(T84="","",T84)</f>
        <v>Добавить территорию для дифференциации</v>
      </c>
      <c r="BW84" s="23339"/>
      <c r="BX84" s="23339"/>
      <c r="BY84" s="23161">
        <v>0</v>
      </c>
    </row>
    <row s="63225" customFormat="1" customHeight="1" ht="21">
      <c r="A85" s="23328" t="s">
        <v>206</v>
      </c>
      <c r="B85" s="23328"/>
      <c r="C85" s="23328"/>
      <c r="D85" s="23328"/>
      <c r="E85" s="23329" t="s">
        <v>92</v>
      </c>
      <c r="F85" s="23328"/>
      <c r="G85" s="23328"/>
      <c r="H85" s="23328"/>
      <c r="I85" s="23328"/>
      <c r="J85" s="23328"/>
      <c r="K85" s="23328"/>
      <c r="L85" s="23330"/>
      <c r="M85" s="23331"/>
      <c r="N85" s="23331"/>
      <c r="O85" s="23331"/>
      <c r="P85" s="23332"/>
      <c r="Q85" s="23333"/>
      <c r="R85" s="23334"/>
      <c r="S85" s="23335" t="str">
        <f>INDEX(PT_DIFFERENTIATION_NUM_NTAR,MATCH(A85,PT_DIFFERENTIATION_NTAR_ID,0))</f>
        <v>4</v>
      </c>
      <c r="T85" s="23336" t="s">
        <v>131</v>
      </c>
      <c r="U85" s="23337"/>
      <c r="V85" s="22958"/>
      <c r="W85" s="22959"/>
      <c r="X85" s="22959"/>
      <c r="Y85" s="22959"/>
      <c r="Z85" s="22959"/>
      <c r="AA85" s="22959"/>
      <c r="AB85" s="22959"/>
      <c r="AC85" s="22960"/>
      <c r="AD85" s="22958" t="str">
        <f>INDEX(PT_DIFFERENTIATION_NTAR,MATCH(A85,PT_DIFFERENTIATION_NTAR_ID,0))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AE85" s="22959"/>
      <c r="AF85" s="22959"/>
      <c r="AG85" s="22959"/>
      <c r="AH85" s="22959"/>
      <c r="AI85" s="22959"/>
      <c r="AJ85" s="22959"/>
      <c r="AK85" s="22959"/>
      <c r="AL85" s="22958"/>
      <c r="AM85" s="22959"/>
      <c r="AN85" s="22959"/>
      <c r="AO85" s="22959"/>
      <c r="AP85" s="22959"/>
      <c r="AQ85" s="22959"/>
      <c r="AR85" s="22959"/>
      <c r="AS85" s="22960"/>
      <c r="AT85" s="22958"/>
      <c r="AU85" s="22959"/>
      <c r="AV85" s="22959"/>
      <c r="AW85" s="22959"/>
      <c r="AX85" s="22959"/>
      <c r="AY85" s="22959"/>
      <c r="AZ85" s="22959"/>
      <c r="BA85" s="22960"/>
      <c r="BB85" s="22958"/>
      <c r="BC85" s="22959"/>
      <c r="BD85" s="22959"/>
      <c r="BE85" s="22959"/>
      <c r="BF85" s="22959"/>
      <c r="BG85" s="22959"/>
      <c r="BH85" s="22959"/>
      <c r="BI85" s="22960"/>
      <c r="BJ85" s="22958"/>
      <c r="BK85" s="22959"/>
      <c r="BL85" s="22959"/>
      <c r="BM85" s="22959"/>
      <c r="BN85" s="22959"/>
      <c r="BO85" s="22959"/>
      <c r="BP85" s="22959"/>
      <c r="BQ85" s="22960"/>
      <c r="BR85" s="22960"/>
      <c r="BS85" s="23338" t="s">
        <v>471</v>
      </c>
      <c r="BT85" s="23161"/>
      <c r="BU85" s="23339"/>
      <c r="BV85" s="23339" t="str">
        <f>IF(T85="","",T85)</f>
        <v>Наименование тарифа</v>
      </c>
      <c r="BW85" s="23339"/>
      <c r="BX85" s="23339"/>
      <c r="BY85" s="22944">
        <v>0</v>
      </c>
    </row>
    <row s="63225" customFormat="1" customHeight="1" ht="21">
      <c r="A86" s="23328"/>
      <c r="B86" s="23328" t="s">
        <v>207</v>
      </c>
      <c r="C86" s="23328"/>
      <c r="D86" s="23328"/>
      <c r="E86" s="23341" t="s">
        <v>91</v>
      </c>
      <c r="F86" s="23329">
        <v>1</v>
      </c>
      <c r="G86" s="23328"/>
      <c r="H86" s="23328"/>
      <c r="I86" s="23328"/>
      <c r="J86" s="23328"/>
      <c r="K86" s="23328"/>
      <c r="L86" s="23330"/>
      <c r="M86" s="23331"/>
      <c r="N86" s="23331"/>
      <c r="O86" s="23331"/>
      <c r="P86" s="23342"/>
      <c r="Q86" s="23343"/>
      <c r="R86" s="23344"/>
      <c r="S86" s="23335" t="str">
        <f>INDEX(PT_DIFFERENTIATION_NUM_TER,MATCH(B86,PT_DIFFERENTIATION_TER_ID,0))</f>
        <v>4.1</v>
      </c>
      <c r="T86" s="23345" t="s">
        <v>472</v>
      </c>
      <c r="U86" s="23337"/>
      <c r="V86" s="22958"/>
      <c r="W86" s="22959"/>
      <c r="X86" s="22959"/>
      <c r="Y86" s="22959"/>
      <c r="Z86" s="22959"/>
      <c r="AA86" s="22959"/>
      <c r="AB86" s="22959"/>
      <c r="AC86" s="22960"/>
      <c r="AD86" s="22958" t="str">
        <f>INDEX(PT_DIFFERENTIATION_TER,MATCH(B86,PT_DIFFERENTIATION_TER_ID,0))</f>
        <v>Территория 1</v>
      </c>
      <c r="AE86" s="22959"/>
      <c r="AF86" s="22959"/>
      <c r="AG86" s="22959"/>
      <c r="AH86" s="22959"/>
      <c r="AI86" s="22959"/>
      <c r="AJ86" s="22959"/>
      <c r="AK86" s="22959"/>
      <c r="AL86" s="22958"/>
      <c r="AM86" s="22959"/>
      <c r="AN86" s="22959"/>
      <c r="AO86" s="22959"/>
      <c r="AP86" s="22959"/>
      <c r="AQ86" s="22959"/>
      <c r="AR86" s="22959"/>
      <c r="AS86" s="22960"/>
      <c r="AT86" s="22958"/>
      <c r="AU86" s="22959"/>
      <c r="AV86" s="22959"/>
      <c r="AW86" s="22959"/>
      <c r="AX86" s="22959"/>
      <c r="AY86" s="22959"/>
      <c r="AZ86" s="22959"/>
      <c r="BA86" s="22960"/>
      <c r="BB86" s="22958"/>
      <c r="BC86" s="22959"/>
      <c r="BD86" s="22959"/>
      <c r="BE86" s="22959"/>
      <c r="BF86" s="22959"/>
      <c r="BG86" s="22959"/>
      <c r="BH86" s="22959"/>
      <c r="BI86" s="22960"/>
      <c r="BJ86" s="22958"/>
      <c r="BK86" s="22959"/>
      <c r="BL86" s="22959"/>
      <c r="BM86" s="22959"/>
      <c r="BN86" s="22959"/>
      <c r="BO86" s="22959"/>
      <c r="BP86" s="22959"/>
      <c r="BQ86" s="22960"/>
      <c r="BR86" s="22960"/>
      <c r="BS86" s="23338" t="s">
        <v>473</v>
      </c>
      <c r="BT86" s="23161"/>
      <c r="BU86" s="23339"/>
      <c r="BV86" s="23339" t="str">
        <f>IF(T86="","",T86)</f>
        <v>Территория действия тарифа</v>
      </c>
      <c r="BW86" s="23339"/>
      <c r="BX86" s="23339"/>
      <c r="BY86" s="22944">
        <v>0</v>
      </c>
    </row>
    <row s="63225" customFormat="1" customHeight="1" ht="23.25">
      <c r="A87" s="23328"/>
      <c r="B87" s="23328"/>
      <c r="C87" s="23328" t="s">
        <v>208</v>
      </c>
      <c r="D87" s="23328"/>
      <c r="E87" s="23341" t="s">
        <v>91</v>
      </c>
      <c r="F87" s="23341"/>
      <c r="G87" s="23329">
        <v>1</v>
      </c>
      <c r="H87" s="23328"/>
      <c r="I87" s="23328"/>
      <c r="J87" s="23328"/>
      <c r="K87" s="23328"/>
      <c r="L87" s="23330"/>
      <c r="M87" s="23331"/>
      <c r="N87" s="23331"/>
      <c r="O87" s="23331"/>
      <c r="P87" s="23347"/>
      <c r="Q87" s="23343"/>
      <c r="R87" s="23344"/>
      <c r="S87" s="23335" t="str">
        <f>INDEX(PT_DIFFERENTIATION_NUM_CS,MATCH(C87,PT_DIFFERENTIATION_CS_ID,0))</f>
        <v>4.1.1</v>
      </c>
      <c r="T87" s="23348" t="s">
        <v>474</v>
      </c>
      <c r="U87" s="23337"/>
      <c r="V87" s="22958"/>
      <c r="W87" s="22959"/>
      <c r="X87" s="22959"/>
      <c r="Y87" s="22959"/>
      <c r="Z87" s="22959"/>
      <c r="AA87" s="22959"/>
      <c r="AB87" s="22959"/>
      <c r="AC87" s="22960"/>
      <c r="AD87" s="22958" t="str">
        <f>INDEX(PT_DIFFERENTIATION_CS,MATCH(C87,PT_DIFFERENTIATION_CS_ID,0))</f>
        <v>без дифференциации</v>
      </c>
      <c r="AE87" s="22959"/>
      <c r="AF87" s="22959"/>
      <c r="AG87" s="22959"/>
      <c r="AH87" s="22959"/>
      <c r="AI87" s="22959"/>
      <c r="AJ87" s="22959"/>
      <c r="AK87" s="22959"/>
      <c r="AL87" s="22958"/>
      <c r="AM87" s="22959"/>
      <c r="AN87" s="22959"/>
      <c r="AO87" s="22959"/>
      <c r="AP87" s="22959"/>
      <c r="AQ87" s="22959"/>
      <c r="AR87" s="22959"/>
      <c r="AS87" s="22960"/>
      <c r="AT87" s="22958"/>
      <c r="AU87" s="22959"/>
      <c r="AV87" s="22959"/>
      <c r="AW87" s="22959"/>
      <c r="AX87" s="22959"/>
      <c r="AY87" s="22959"/>
      <c r="AZ87" s="22959"/>
      <c r="BA87" s="22960"/>
      <c r="BB87" s="22958"/>
      <c r="BC87" s="22959"/>
      <c r="BD87" s="22959"/>
      <c r="BE87" s="22959"/>
      <c r="BF87" s="22959"/>
      <c r="BG87" s="22959"/>
      <c r="BH87" s="22959"/>
      <c r="BI87" s="22960"/>
      <c r="BJ87" s="22958"/>
      <c r="BK87" s="22959"/>
      <c r="BL87" s="22959"/>
      <c r="BM87" s="22959"/>
      <c r="BN87" s="22959"/>
      <c r="BO87" s="22959"/>
      <c r="BP87" s="22959"/>
      <c r="BQ87" s="22960"/>
      <c r="BR87" s="22960"/>
      <c r="BS87" s="23338" t="s">
        <v>475</v>
      </c>
      <c r="BT87" s="23161"/>
      <c r="BU87" s="23339"/>
      <c r="BV87" s="23339" t="str">
        <f>IF(T87="","",T87)</f>
        <v>Наименование системы теплоснабжения </v>
      </c>
      <c r="BW87" s="23339"/>
      <c r="BX87" s="23339"/>
      <c r="BY87" s="22944">
        <v>0</v>
      </c>
    </row>
    <row s="63225" customFormat="1" customHeight="1" ht="21">
      <c r="A88" s="23328"/>
      <c r="B88" s="23328"/>
      <c r="C88" s="23328"/>
      <c r="D88" s="23328" t="s">
        <v>209</v>
      </c>
      <c r="E88" s="23341" t="s">
        <v>91</v>
      </c>
      <c r="F88" s="23341"/>
      <c r="G88" s="23341"/>
      <c r="H88" s="23329">
        <v>1</v>
      </c>
      <c r="I88" s="23328"/>
      <c r="J88" s="23328"/>
      <c r="K88" s="23328"/>
      <c r="L88" s="23330"/>
      <c r="M88" s="23331"/>
      <c r="N88" s="23331"/>
      <c r="O88" s="23331"/>
      <c r="P88" s="23347"/>
      <c r="Q88" s="23343"/>
      <c r="R88" s="23344"/>
      <c r="S88" s="23335" t="str">
        <f>INDEX(PT_DIFFERENTIATION_NUM_IST_TE,MATCH(D88,PT_DIFFERENTIATION_IST_TE_ID,0))</f>
        <v>4.1.1.1</v>
      </c>
      <c r="T88" s="23350" t="s">
        <v>476</v>
      </c>
      <c r="U88" s="23337"/>
      <c r="V88" s="22958"/>
      <c r="W88" s="22959"/>
      <c r="X88" s="22959"/>
      <c r="Y88" s="22959"/>
      <c r="Z88" s="22959"/>
      <c r="AA88" s="22959"/>
      <c r="AB88" s="22959"/>
      <c r="AC88" s="22960"/>
      <c r="AD88" s="22958" t="str">
        <f>INDEX(PT_DIFFERENTIATION_IST_TE,MATCH(D88,PT_DIFFERENTIATION_IST_TE_ID,0))</f>
        <v>без дифференциации</v>
      </c>
      <c r="AE88" s="22959"/>
      <c r="AF88" s="22959"/>
      <c r="AG88" s="22959"/>
      <c r="AH88" s="22959"/>
      <c r="AI88" s="22959"/>
      <c r="AJ88" s="22959"/>
      <c r="AK88" s="22959"/>
      <c r="AL88" s="22958"/>
      <c r="AM88" s="22959"/>
      <c r="AN88" s="22959"/>
      <c r="AO88" s="22959"/>
      <c r="AP88" s="22959"/>
      <c r="AQ88" s="22959"/>
      <c r="AR88" s="22959"/>
      <c r="AS88" s="22960"/>
      <c r="AT88" s="22958"/>
      <c r="AU88" s="22959"/>
      <c r="AV88" s="22959"/>
      <c r="AW88" s="22959"/>
      <c r="AX88" s="22959"/>
      <c r="AY88" s="22959"/>
      <c r="AZ88" s="22959"/>
      <c r="BA88" s="22960"/>
      <c r="BB88" s="22958"/>
      <c r="BC88" s="22959"/>
      <c r="BD88" s="22959"/>
      <c r="BE88" s="22959"/>
      <c r="BF88" s="22959"/>
      <c r="BG88" s="22959"/>
      <c r="BH88" s="22959"/>
      <c r="BI88" s="22960"/>
      <c r="BJ88" s="22958"/>
      <c r="BK88" s="22959"/>
      <c r="BL88" s="22959"/>
      <c r="BM88" s="22959"/>
      <c r="BN88" s="22959"/>
      <c r="BO88" s="22959"/>
      <c r="BP88" s="22959"/>
      <c r="BQ88" s="22960"/>
      <c r="BR88" s="22960"/>
      <c r="BS88" s="23338" t="s">
        <v>477</v>
      </c>
      <c r="BT88" s="23161"/>
      <c r="BU88" s="23339"/>
      <c r="BV88" s="23339" t="str">
        <f>IF(T88="","",T88)</f>
        <v>Источник тепловой энергии  </v>
      </c>
      <c r="BW88" s="23339"/>
      <c r="BX88" s="23339"/>
      <c r="BY88" s="22944">
        <v>0</v>
      </c>
    </row>
    <row s="63225" customFormat="1" customHeight="1" ht="47.25">
      <c r="A89" s="23328"/>
      <c r="B89" s="23328"/>
      <c r="C89" s="23328"/>
      <c r="D89" s="23328"/>
      <c r="E89" s="23341" t="s">
        <v>91</v>
      </c>
      <c r="F89" s="23341"/>
      <c r="G89" s="23341"/>
      <c r="H89" s="23341"/>
      <c r="I89" s="23352" t="str">
        <f>S88&amp;".1"</f>
        <v>4.1.1.1.1</v>
      </c>
      <c r="J89" s="23328"/>
      <c r="K89" s="23328"/>
      <c r="L89" s="23330" t="s">
        <v>478</v>
      </c>
      <c r="M89" s="23133"/>
      <c r="N89" s="23353"/>
      <c r="O89" s="23353"/>
      <c r="P89" s="23354">
        <v>1</v>
      </c>
      <c r="Q89" s="23354"/>
      <c r="R89" s="23355"/>
      <c r="S89" s="23335" t="str">
        <f>$I89</f>
        <v>4.1.1.1.1</v>
      </c>
      <c r="T89" s="23356" t="s">
        <v>479</v>
      </c>
      <c r="U89" s="23337"/>
      <c r="V89" s="22979"/>
      <c r="W89" s="22980"/>
      <c r="X89" s="22980"/>
      <c r="Y89" s="22980"/>
      <c r="Z89" s="22980"/>
      <c r="AA89" s="22980"/>
      <c r="AB89" s="22980"/>
      <c r="AC89" s="22981"/>
      <c r="AD89" s="22979" t="s">
        <v>521</v>
      </c>
      <c r="AE89" s="22980"/>
      <c r="AF89" s="22980"/>
      <c r="AG89" s="22980"/>
      <c r="AH89" s="22980"/>
      <c r="AI89" s="22980"/>
      <c r="AJ89" s="22980"/>
      <c r="AK89" s="22980"/>
      <c r="AL89" s="22979"/>
      <c r="AM89" s="22980"/>
      <c r="AN89" s="22980"/>
      <c r="AO89" s="22980"/>
      <c r="AP89" s="22980"/>
      <c r="AQ89" s="22980"/>
      <c r="AR89" s="22980"/>
      <c r="AS89" s="22981"/>
      <c r="AT89" s="22979"/>
      <c r="AU89" s="22980"/>
      <c r="AV89" s="22980"/>
      <c r="AW89" s="22980"/>
      <c r="AX89" s="22980"/>
      <c r="AY89" s="22980"/>
      <c r="AZ89" s="22980"/>
      <c r="BA89" s="22981"/>
      <c r="BB89" s="22979"/>
      <c r="BC89" s="22980"/>
      <c r="BD89" s="22980"/>
      <c r="BE89" s="22980"/>
      <c r="BF89" s="22980"/>
      <c r="BG89" s="22980"/>
      <c r="BH89" s="22980"/>
      <c r="BI89" s="22981"/>
      <c r="BJ89" s="22979"/>
      <c r="BK89" s="22980"/>
      <c r="BL89" s="22980"/>
      <c r="BM89" s="22980"/>
      <c r="BN89" s="22980"/>
      <c r="BO89" s="22980"/>
      <c r="BP89" s="22980"/>
      <c r="BQ89" s="22981"/>
      <c r="BR89" s="22981"/>
      <c r="BS89" s="23338" t="s">
        <v>480</v>
      </c>
      <c r="BT89" s="23161"/>
      <c r="BU89" s="23339"/>
      <c r="BV89" s="23339" t="str">
        <f>IF(T89="","",T89)</f>
        <v>Схема подключения теплопотребляющей установки к коллектору источника тепловой энергии</v>
      </c>
      <c r="BW89" s="23339"/>
      <c r="BX89" s="23339"/>
      <c r="BY89" s="22944">
        <v>0</v>
      </c>
    </row>
    <row s="63225" customFormat="1" customHeight="1" ht="21">
      <c r="A90" s="23328"/>
      <c r="B90" s="23328"/>
      <c r="C90" s="23328"/>
      <c r="D90" s="23328"/>
      <c r="E90" s="23341" t="s">
        <v>91</v>
      </c>
      <c r="F90" s="23341"/>
      <c r="G90" s="23341"/>
      <c r="H90" s="23341"/>
      <c r="I90" s="23358"/>
      <c r="J90" s="23352" t="str">
        <f>I89&amp;".1"</f>
        <v>4.1.1.1.1.1</v>
      </c>
      <c r="K90" s="23328"/>
      <c r="L90" s="23330" t="s">
        <v>481</v>
      </c>
      <c r="M90" s="23133"/>
      <c r="N90" s="23133"/>
      <c r="O90" s="23353"/>
      <c r="P90" s="23354"/>
      <c r="Q90" s="23354">
        <v>1</v>
      </c>
      <c r="R90" s="23359"/>
      <c r="S90" s="23335" t="str">
        <f>$J90</f>
        <v>4.1.1.1.1.1</v>
      </c>
      <c r="T90" s="23360" t="s">
        <v>482</v>
      </c>
      <c r="U90" s="23337"/>
      <c r="V90" s="22979"/>
      <c r="W90" s="22980"/>
      <c r="X90" s="22980"/>
      <c r="Y90" s="22980"/>
      <c r="Z90" s="22980"/>
      <c r="AA90" s="22980"/>
      <c r="AB90" s="22980"/>
      <c r="AC90" s="22981"/>
      <c r="AD90" s="22979" t="s">
        <v>521</v>
      </c>
      <c r="AE90" s="22980"/>
      <c r="AF90" s="22980"/>
      <c r="AG90" s="22980"/>
      <c r="AH90" s="22980"/>
      <c r="AI90" s="22980"/>
      <c r="AJ90" s="22980"/>
      <c r="AK90" s="22980"/>
      <c r="AL90" s="22979"/>
      <c r="AM90" s="22980"/>
      <c r="AN90" s="22980"/>
      <c r="AO90" s="22980"/>
      <c r="AP90" s="22980"/>
      <c r="AQ90" s="22980"/>
      <c r="AR90" s="22980"/>
      <c r="AS90" s="22981"/>
      <c r="AT90" s="22979"/>
      <c r="AU90" s="22980"/>
      <c r="AV90" s="22980"/>
      <c r="AW90" s="22980"/>
      <c r="AX90" s="22980"/>
      <c r="AY90" s="22980"/>
      <c r="AZ90" s="22980"/>
      <c r="BA90" s="22981"/>
      <c r="BB90" s="22979"/>
      <c r="BC90" s="22980"/>
      <c r="BD90" s="22980"/>
      <c r="BE90" s="22980"/>
      <c r="BF90" s="22980"/>
      <c r="BG90" s="22980"/>
      <c r="BH90" s="22980"/>
      <c r="BI90" s="22981"/>
      <c r="BJ90" s="22979"/>
      <c r="BK90" s="22980"/>
      <c r="BL90" s="22980"/>
      <c r="BM90" s="22980"/>
      <c r="BN90" s="22980"/>
      <c r="BO90" s="22980"/>
      <c r="BP90" s="22980"/>
      <c r="BQ90" s="22981"/>
      <c r="BR90" s="22981"/>
      <c r="BS90" s="23338" t="s">
        <v>483</v>
      </c>
      <c r="BT90" s="23161"/>
      <c r="BU90" s="23339"/>
      <c r="BV90" s="23339" t="str">
        <f>IF(T90="","",T90)</f>
        <v>Группа потребителей</v>
      </c>
      <c r="BW90" s="23339"/>
      <c r="BX90" s="23339"/>
      <c r="BY90" s="22944">
        <v>0</v>
      </c>
    </row>
    <row s="63225" customFormat="1" customHeight="1" ht="21">
      <c r="A91" s="23328"/>
      <c r="B91" s="23328"/>
      <c r="C91" s="23328"/>
      <c r="D91" s="23328"/>
      <c r="E91" s="23341" t="s">
        <v>91</v>
      </c>
      <c r="F91" s="23341"/>
      <c r="G91" s="23341"/>
      <c r="H91" s="23341"/>
      <c r="I91" s="23358"/>
      <c r="J91" s="23358"/>
      <c r="K91" s="23352" t="str">
        <f>J90&amp;".1"</f>
        <v>4.1.1.1.1.1.1</v>
      </c>
      <c r="L91" s="23330" t="s">
        <v>484</v>
      </c>
      <c r="M91" s="23133"/>
      <c r="N91" s="23133"/>
      <c r="O91" s="23133"/>
      <c r="P91" s="23354"/>
      <c r="Q91" s="23354"/>
      <c r="R91" s="23359">
        <v>1</v>
      </c>
      <c r="S91" s="23335" t="str">
        <f>$K91</f>
        <v>4.1.1.1.1.1.1</v>
      </c>
      <c r="T91" s="23362" t="s">
        <v>522</v>
      </c>
      <c r="U91" s="23337"/>
      <c r="V91" s="22991"/>
      <c r="W91" s="22992"/>
      <c r="X91" s="22991"/>
      <c r="Y91" s="22993"/>
      <c r="Z91" s="22994"/>
      <c r="AA91" s="22349" t="s">
        <v>67</v>
      </c>
      <c r="AB91" s="22994"/>
      <c r="AC91" s="22349" t="s">
        <v>67</v>
      </c>
      <c r="AD91" s="22991">
        <v>1927.9</v>
      </c>
      <c r="AE91" s="22992"/>
      <c r="AF91" s="22991">
        <v>1368.41</v>
      </c>
      <c r="AG91" s="22993">
        <v>145.986</v>
      </c>
      <c r="AH91" s="22994">
        <v>45292</v>
      </c>
      <c r="AI91" s="22349" t="s">
        <v>67</v>
      </c>
      <c r="AJ91" s="22994">
        <v>45657</v>
      </c>
      <c r="AK91" s="22349" t="s">
        <v>67</v>
      </c>
      <c r="AL91" s="22991">
        <v>1929.43</v>
      </c>
      <c r="AM91" s="22992"/>
      <c r="AN91" s="22991">
        <v>1389.7</v>
      </c>
      <c r="AO91" s="22993">
        <v>140.84196</v>
      </c>
      <c r="AP91" s="22994">
        <v>45658</v>
      </c>
      <c r="AQ91" s="22349" t="s">
        <v>67</v>
      </c>
      <c r="AR91" s="22994">
        <v>46022</v>
      </c>
      <c r="AS91" s="22349" t="s">
        <v>67</v>
      </c>
      <c r="AT91" s="22991">
        <v>2299.2</v>
      </c>
      <c r="AU91" s="22992"/>
      <c r="AV91" s="22991">
        <v>1511.33</v>
      </c>
      <c r="AW91" s="22993">
        <v>195.91069</v>
      </c>
      <c r="AX91" s="22994">
        <v>46023</v>
      </c>
      <c r="AY91" s="22349" t="s">
        <v>67</v>
      </c>
      <c r="AZ91" s="22994">
        <v>46387</v>
      </c>
      <c r="BA91" s="22349" t="s">
        <v>67</v>
      </c>
      <c r="BB91" s="22991">
        <v>2134.92</v>
      </c>
      <c r="BC91" s="22992"/>
      <c r="BD91" s="22991">
        <v>1548.99</v>
      </c>
      <c r="BE91" s="22993">
        <v>152.887</v>
      </c>
      <c r="BF91" s="22994">
        <v>46388</v>
      </c>
      <c r="BG91" s="22349" t="s">
        <v>67</v>
      </c>
      <c r="BH91" s="22994">
        <v>46752</v>
      </c>
      <c r="BI91" s="22349" t="s">
        <v>67</v>
      </c>
      <c r="BJ91" s="22991">
        <v>2190.73</v>
      </c>
      <c r="BK91" s="22992"/>
      <c r="BL91" s="22991">
        <v>1614.13</v>
      </c>
      <c r="BM91" s="22993">
        <v>150.45088</v>
      </c>
      <c r="BN91" s="22994">
        <v>46753</v>
      </c>
      <c r="BO91" s="22349" t="s">
        <v>67</v>
      </c>
      <c r="BP91" s="22994">
        <v>47118</v>
      </c>
      <c r="BQ91" s="22349" t="s">
        <v>67</v>
      </c>
      <c r="BR91" s="22992"/>
      <c r="BS91" s="23363" t="s">
        <v>485</v>
      </c>
      <c r="BT91" s="23161">
        <f>STRCHECKDATE(V92:BR92)</f>
      </c>
      <c r="BU91" s="23339"/>
      <c r="BV91" s="23339" t="str">
        <f>IF(T91="","",T91)</f>
        <v>вода</v>
      </c>
      <c r="BW91" s="23339"/>
      <c r="BX91" s="23339"/>
      <c r="BY91" s="22944">
        <v>0</v>
      </c>
    </row>
    <row s="63225" customFormat="1" customHeight="1" ht="0.75">
      <c r="A92" s="23328"/>
      <c r="B92" s="23328"/>
      <c r="C92" s="23328"/>
      <c r="D92" s="23328"/>
      <c r="E92" s="23341" t="s">
        <v>91</v>
      </c>
      <c r="F92" s="23341"/>
      <c r="G92" s="23341"/>
      <c r="H92" s="23341"/>
      <c r="I92" s="23358"/>
      <c r="J92" s="23358"/>
      <c r="K92" s="23352"/>
      <c r="L92" s="23330"/>
      <c r="M92" s="23133"/>
      <c r="N92" s="23133"/>
      <c r="O92" s="23133"/>
      <c r="P92" s="23354"/>
      <c r="Q92" s="23354"/>
      <c r="R92" s="23359"/>
      <c r="S92" s="23365"/>
      <c r="T92" s="23337"/>
      <c r="U92" s="23337"/>
      <c r="V92" s="22992"/>
      <c r="W92" s="22992"/>
      <c r="X92" s="22992"/>
      <c r="Y92" s="22999" t="str">
        <f>Z91&amp;"-"&amp;AB91</f>
        <v>-</v>
      </c>
      <c r="Z92" s="23000"/>
      <c r="AA92" s="22349"/>
      <c r="AB92" s="23000"/>
      <c r="AC92" s="22349"/>
      <c r="AD92" s="22992"/>
      <c r="AE92" s="22992"/>
      <c r="AF92" s="22992"/>
      <c r="AG92" s="22999" t="str">
        <f>AH91&amp;"-"&amp;AJ91</f>
        <v>45292-45657</v>
      </c>
      <c r="AH92" s="23000"/>
      <c r="AI92" s="22349"/>
      <c r="AJ92" s="23000"/>
      <c r="AK92" s="22349"/>
      <c r="AL92" s="22992"/>
      <c r="AM92" s="22992"/>
      <c r="AN92" s="22992"/>
      <c r="AO92" s="22999" t="str">
        <f>AP91&amp;"-"&amp;AR91</f>
        <v>45658-46022</v>
      </c>
      <c r="AP92" s="23000"/>
      <c r="AQ92" s="22349"/>
      <c r="AR92" s="23000"/>
      <c r="AS92" s="22349"/>
      <c r="AT92" s="22992"/>
      <c r="AU92" s="22992"/>
      <c r="AV92" s="22992"/>
      <c r="AW92" s="22999" t="str">
        <f>AX91&amp;"-"&amp;AZ91</f>
        <v>46023-46387</v>
      </c>
      <c r="AX92" s="23000"/>
      <c r="AY92" s="22349"/>
      <c r="AZ92" s="23000"/>
      <c r="BA92" s="22349"/>
      <c r="BB92" s="22992"/>
      <c r="BC92" s="22992"/>
      <c r="BD92" s="22992"/>
      <c r="BE92" s="22999" t="str">
        <f>BF91&amp;"-"&amp;BH91</f>
        <v>46388-46752</v>
      </c>
      <c r="BF92" s="23000"/>
      <c r="BG92" s="22349"/>
      <c r="BH92" s="23000"/>
      <c r="BI92" s="22349"/>
      <c r="BJ92" s="22992"/>
      <c r="BK92" s="22992"/>
      <c r="BL92" s="22992"/>
      <c r="BM92" s="22999" t="str">
        <f>BN91&amp;"-"&amp;BP91</f>
        <v>46753-47118</v>
      </c>
      <c r="BN92" s="23000"/>
      <c r="BO92" s="22349"/>
      <c r="BP92" s="23000"/>
      <c r="BQ92" s="22349"/>
      <c r="BR92" s="22992"/>
      <c r="BS92" s="23366"/>
      <c r="BT92" s="23161"/>
      <c r="BU92" s="23339"/>
      <c r="BV92" s="23339" t="str">
        <f>IF(T92="","",T92)</f>
        <v/>
      </c>
      <c r="BW92" s="23339"/>
      <c r="BX92" s="23339"/>
      <c r="BY92" s="22944">
        <v>0</v>
      </c>
    </row>
    <row s="63225" customFormat="1" customHeight="1" ht="15">
      <c r="A93" s="23328"/>
      <c r="B93" s="23328"/>
      <c r="C93" s="23328"/>
      <c r="D93" s="23328"/>
      <c r="E93" s="23341" t="s">
        <v>91</v>
      </c>
      <c r="F93" s="23341"/>
      <c r="G93" s="23341"/>
      <c r="H93" s="23341"/>
      <c r="I93" s="23358"/>
      <c r="J93" s="23352"/>
      <c r="K93" s="23328"/>
      <c r="L93" s="23330"/>
      <c r="M93" s="23133"/>
      <c r="N93" s="23133"/>
      <c r="O93" s="23353"/>
      <c r="P93" s="23354"/>
      <c r="Q93" s="23354"/>
      <c r="R93" s="23355"/>
      <c r="S93" s="24280"/>
      <c r="T93" s="24281" t="s">
        <v>486</v>
      </c>
      <c r="U93" s="24282"/>
      <c r="V93" s="24283"/>
      <c r="W93" s="24284"/>
      <c r="X93" s="24285"/>
      <c r="Y93" s="24286"/>
      <c r="Z93" s="24287"/>
      <c r="AA93" s="24288"/>
      <c r="AB93" s="24289"/>
      <c r="AC93" s="24290"/>
      <c r="AD93" s="24291"/>
      <c r="AE93" s="24292"/>
      <c r="AF93" s="24293"/>
      <c r="AG93" s="24294"/>
      <c r="AH93" s="24295"/>
      <c r="AI93" s="24296"/>
      <c r="AJ93" s="24297"/>
      <c r="AK93" s="24298"/>
      <c r="AL93" s="24299"/>
      <c r="AM93" s="24300"/>
      <c r="AN93" s="24301"/>
      <c r="AO93" s="24302"/>
      <c r="AP93" s="24303"/>
      <c r="AQ93" s="24304"/>
      <c r="AR93" s="24305"/>
      <c r="AS93" s="24306"/>
      <c r="AT93" s="24307"/>
      <c r="AU93" s="24308"/>
      <c r="AV93" s="24309"/>
      <c r="AW93" s="24310"/>
      <c r="AX93" s="24311"/>
      <c r="AY93" s="24312"/>
      <c r="AZ93" s="24313"/>
      <c r="BA93" s="24314"/>
      <c r="BB93" s="24315"/>
      <c r="BC93" s="24316"/>
      <c r="BD93" s="24317"/>
      <c r="BE93" s="24318"/>
      <c r="BF93" s="24319"/>
      <c r="BG93" s="24320"/>
      <c r="BH93" s="24321"/>
      <c r="BI93" s="24322"/>
      <c r="BJ93" s="24323"/>
      <c r="BK93" s="24324"/>
      <c r="BL93" s="24325"/>
      <c r="BM93" s="24326"/>
      <c r="BN93" s="24327"/>
      <c r="BO93" s="24328"/>
      <c r="BP93" s="24329"/>
      <c r="BQ93" s="24330"/>
      <c r="BR93" s="24331"/>
      <c r="BS93" s="23420"/>
      <c r="BT93" s="23161"/>
      <c r="BU93" s="23339"/>
      <c r="BV93" s="23339" t="str">
        <f>IF(T93="","",T93)</f>
        <v>Добавить вид теплоносителя (параметры теплоносителя)</v>
      </c>
      <c r="BW93" s="23339"/>
      <c r="BX93" s="23339"/>
      <c r="BY93" s="22944">
        <v>0</v>
      </c>
    </row>
    <row s="63225" customFormat="1" customHeight="1" ht="15">
      <c r="A94" s="23328"/>
      <c r="B94" s="23328"/>
      <c r="C94" s="23328"/>
      <c r="D94" s="23328"/>
      <c r="E94" s="23341" t="s">
        <v>91</v>
      </c>
      <c r="F94" s="23341"/>
      <c r="G94" s="23341"/>
      <c r="H94" s="23341"/>
      <c r="I94" s="23352"/>
      <c r="J94" s="23328"/>
      <c r="K94" s="23328"/>
      <c r="L94" s="23330"/>
      <c r="M94" s="23133"/>
      <c r="N94" s="23353"/>
      <c r="O94" s="23353"/>
      <c r="P94" s="23354"/>
      <c r="Q94" s="23354"/>
      <c r="R94" s="23355"/>
      <c r="S94" s="24333"/>
      <c r="T94" s="24334" t="s">
        <v>487</v>
      </c>
      <c r="U94" s="24335"/>
      <c r="V94" s="24336"/>
      <c r="W94" s="24337"/>
      <c r="X94" s="24338"/>
      <c r="Y94" s="24339"/>
      <c r="Z94" s="24340"/>
      <c r="AA94" s="24341"/>
      <c r="AB94" s="24342"/>
      <c r="AC94" s="24343"/>
      <c r="AD94" s="24344"/>
      <c r="AE94" s="24345"/>
      <c r="AF94" s="24346"/>
      <c r="AG94" s="24347"/>
      <c r="AH94" s="24348"/>
      <c r="AI94" s="24349"/>
      <c r="AJ94" s="24350"/>
      <c r="AK94" s="24351"/>
      <c r="AL94" s="24352"/>
      <c r="AM94" s="24353"/>
      <c r="AN94" s="24354"/>
      <c r="AO94" s="24355"/>
      <c r="AP94" s="24356"/>
      <c r="AQ94" s="24357"/>
      <c r="AR94" s="24358"/>
      <c r="AS94" s="24359"/>
      <c r="AT94" s="24360"/>
      <c r="AU94" s="24361"/>
      <c r="AV94" s="24362"/>
      <c r="AW94" s="24363"/>
      <c r="AX94" s="24364"/>
      <c r="AY94" s="24365"/>
      <c r="AZ94" s="24366"/>
      <c r="BA94" s="24367"/>
      <c r="BB94" s="24368"/>
      <c r="BC94" s="24369"/>
      <c r="BD94" s="24370"/>
      <c r="BE94" s="24371"/>
      <c r="BF94" s="24372"/>
      <c r="BG94" s="24373"/>
      <c r="BH94" s="24374"/>
      <c r="BI94" s="24375"/>
      <c r="BJ94" s="24376"/>
      <c r="BK94" s="24377"/>
      <c r="BL94" s="24378"/>
      <c r="BM94" s="24379"/>
      <c r="BN94" s="24380"/>
      <c r="BO94" s="24381"/>
      <c r="BP94" s="24382"/>
      <c r="BQ94" s="24383"/>
      <c r="BR94" s="24384"/>
      <c r="BS94" s="24385"/>
      <c r="BT94" s="23161"/>
      <c r="BU94" s="23339"/>
      <c r="BV94" s="23339" t="str">
        <f>IF(T94="","",T94)</f>
        <v>Добавить группу потребителей</v>
      </c>
      <c r="BW94" s="23339"/>
      <c r="BX94" s="23339"/>
      <c r="BY94" s="22944">
        <v>0</v>
      </c>
    </row>
    <row s="63225" customFormat="1" customHeight="1" ht="14.25">
      <c r="A95" s="23328"/>
      <c r="B95" s="23328"/>
      <c r="C95" s="23328"/>
      <c r="D95" s="23328"/>
      <c r="E95" s="23341" t="s">
        <v>91</v>
      </c>
      <c r="F95" s="23341"/>
      <c r="G95" s="23341"/>
      <c r="H95" s="23329"/>
      <c r="I95" s="23328"/>
      <c r="J95" s="23328"/>
      <c r="K95" s="23328"/>
      <c r="L95" s="23330"/>
      <c r="M95" s="23331"/>
      <c r="N95" s="23331"/>
      <c r="O95" s="23133"/>
      <c r="P95" s="23333"/>
      <c r="Q95" s="23476"/>
      <c r="R95" s="23334"/>
      <c r="S95" s="24387"/>
      <c r="T95" s="24388" t="s">
        <v>488</v>
      </c>
      <c r="U95" s="24389"/>
      <c r="V95" s="24390"/>
      <c r="W95" s="24391"/>
      <c r="X95" s="24392"/>
      <c r="Y95" s="24393"/>
      <c r="Z95" s="24394"/>
      <c r="AA95" s="24395"/>
      <c r="AB95" s="24396"/>
      <c r="AC95" s="24397"/>
      <c r="AD95" s="24398"/>
      <c r="AE95" s="24399"/>
      <c r="AF95" s="24400"/>
      <c r="AG95" s="24401"/>
      <c r="AH95" s="24402"/>
      <c r="AI95" s="24403"/>
      <c r="AJ95" s="24404"/>
      <c r="AK95" s="24405"/>
      <c r="AL95" s="24406"/>
      <c r="AM95" s="24407"/>
      <c r="AN95" s="24408"/>
      <c r="AO95" s="24409"/>
      <c r="AP95" s="24410"/>
      <c r="AQ95" s="24411"/>
      <c r="AR95" s="24412"/>
      <c r="AS95" s="24413"/>
      <c r="AT95" s="24414"/>
      <c r="AU95" s="24415"/>
      <c r="AV95" s="24416"/>
      <c r="AW95" s="24417"/>
      <c r="AX95" s="24418"/>
      <c r="AY95" s="24419"/>
      <c r="AZ95" s="24420"/>
      <c r="BA95" s="24421"/>
      <c r="BB95" s="24422"/>
      <c r="BC95" s="24423"/>
      <c r="BD95" s="24424"/>
      <c r="BE95" s="24425"/>
      <c r="BF95" s="24426"/>
      <c r="BG95" s="24427"/>
      <c r="BH95" s="24428"/>
      <c r="BI95" s="24429"/>
      <c r="BJ95" s="24430"/>
      <c r="BK95" s="24431"/>
      <c r="BL95" s="24432"/>
      <c r="BM95" s="24433"/>
      <c r="BN95" s="24434"/>
      <c r="BO95" s="24435"/>
      <c r="BP95" s="24436"/>
      <c r="BQ95" s="24437"/>
      <c r="BR95" s="24438"/>
      <c r="BS95" s="24439"/>
      <c r="BT95" s="23161"/>
      <c r="BU95" s="23339"/>
      <c r="BV95" s="23339" t="str">
        <f>IF(T95="","",T95)</f>
        <v>Добавить схему подключения</v>
      </c>
      <c r="BW95" s="23339"/>
      <c r="BX95" s="23339"/>
      <c r="BY95" s="22944">
        <v>0</v>
      </c>
    </row>
    <row s="61685" customFormat="1" customHeight="1" ht="0.75">
      <c r="A96" s="23531"/>
      <c r="B96" s="23531"/>
      <c r="C96" s="23531"/>
      <c r="D96" s="23531"/>
      <c r="E96" s="23341" t="s">
        <v>91</v>
      </c>
      <c r="F96" s="23341"/>
      <c r="G96" s="23329"/>
      <c r="H96" s="23531"/>
      <c r="I96" s="23531"/>
      <c r="J96" s="23531"/>
      <c r="K96" s="23531"/>
      <c r="L96" s="23532"/>
      <c r="M96" s="23533"/>
      <c r="N96" s="23533"/>
      <c r="O96" s="23161"/>
      <c r="P96" s="23534"/>
      <c r="Q96" s="23535"/>
      <c r="R96" s="23534"/>
      <c r="S96" s="23536"/>
      <c r="T96" s="23537" t="s">
        <v>171</v>
      </c>
      <c r="U96" s="23115"/>
      <c r="V96" s="23115"/>
      <c r="W96" s="23115"/>
      <c r="X96" s="23115"/>
      <c r="Y96" s="23115"/>
      <c r="Z96" s="23115"/>
      <c r="AA96" s="23115"/>
      <c r="AB96" s="23115"/>
      <c r="AC96" s="23115"/>
      <c r="AD96" s="23115"/>
      <c r="AE96" s="23115"/>
      <c r="AF96" s="23115"/>
      <c r="AG96" s="23115"/>
      <c r="AH96" s="23115"/>
      <c r="AI96" s="23115"/>
      <c r="AJ96" s="23115"/>
      <c r="AK96" s="23115"/>
      <c r="AL96" s="23115"/>
      <c r="AM96" s="23115"/>
      <c r="AN96" s="23115"/>
      <c r="AO96" s="23115"/>
      <c r="AP96" s="23115"/>
      <c r="AQ96" s="23115"/>
      <c r="AR96" s="23115"/>
      <c r="AS96" s="23115"/>
      <c r="AT96" s="23115"/>
      <c r="AU96" s="23115"/>
      <c r="AV96" s="23115"/>
      <c r="AW96" s="23115"/>
      <c r="AX96" s="23115"/>
      <c r="AY96" s="23115"/>
      <c r="AZ96" s="23115"/>
      <c r="BA96" s="23115"/>
      <c r="BB96" s="23115"/>
      <c r="BC96" s="23115"/>
      <c r="BD96" s="23115"/>
      <c r="BE96" s="23115"/>
      <c r="BF96" s="23115"/>
      <c r="BG96" s="23115"/>
      <c r="BH96" s="23115"/>
      <c r="BI96" s="23115"/>
      <c r="BJ96" s="23115"/>
      <c r="BK96" s="23115"/>
      <c r="BL96" s="23115"/>
      <c r="BM96" s="23115"/>
      <c r="BN96" s="23115"/>
      <c r="BO96" s="23115"/>
      <c r="BP96" s="23115"/>
      <c r="BQ96" s="23115"/>
      <c r="BR96" s="23115"/>
      <c r="BS96" s="23115"/>
      <c r="BT96" s="23161"/>
      <c r="BU96" s="23339"/>
      <c r="BV96" s="23339" t="str">
        <f>IF(T96="","",T96)</f>
        <v>Добавить источник для дифференциации</v>
      </c>
      <c r="BW96" s="23339"/>
      <c r="BX96" s="23339"/>
      <c r="BY96" s="23161">
        <v>0</v>
      </c>
    </row>
    <row s="61685" customFormat="1" customHeight="1" ht="0.75">
      <c r="A97" s="23531"/>
      <c r="B97" s="23531"/>
      <c r="C97" s="23531"/>
      <c r="D97" s="23531"/>
      <c r="E97" s="23341" t="s">
        <v>91</v>
      </c>
      <c r="F97" s="23329"/>
      <c r="G97" s="23531"/>
      <c r="H97" s="23531"/>
      <c r="I97" s="23531"/>
      <c r="J97" s="23531"/>
      <c r="K97" s="23531"/>
      <c r="L97" s="23532"/>
      <c r="M97" s="23539"/>
      <c r="N97" s="23539"/>
      <c r="O97" s="23161"/>
      <c r="P97" s="23534"/>
      <c r="Q97" s="23535"/>
      <c r="R97" s="23534"/>
      <c r="S97" s="23540"/>
      <c r="T97" s="23541" t="s">
        <v>172</v>
      </c>
      <c r="U97" s="23121"/>
      <c r="V97" s="23121"/>
      <c r="W97" s="23121"/>
      <c r="X97" s="23121"/>
      <c r="Y97" s="23121"/>
      <c r="Z97" s="23121"/>
      <c r="AA97" s="23121"/>
      <c r="AB97" s="23121"/>
      <c r="AC97" s="23121"/>
      <c r="AD97" s="23121"/>
      <c r="AE97" s="23121"/>
      <c r="AF97" s="23121"/>
      <c r="AG97" s="23121"/>
      <c r="AH97" s="23121"/>
      <c r="AI97" s="23121"/>
      <c r="AJ97" s="23121"/>
      <c r="AK97" s="23121"/>
      <c r="AL97" s="23121"/>
      <c r="AM97" s="23121"/>
      <c r="AN97" s="23121"/>
      <c r="AO97" s="23121"/>
      <c r="AP97" s="23121"/>
      <c r="AQ97" s="23121"/>
      <c r="AR97" s="23121"/>
      <c r="AS97" s="23121"/>
      <c r="AT97" s="23121"/>
      <c r="AU97" s="23121"/>
      <c r="AV97" s="23121"/>
      <c r="AW97" s="23121"/>
      <c r="AX97" s="23121"/>
      <c r="AY97" s="23121"/>
      <c r="AZ97" s="23121"/>
      <c r="BA97" s="23121"/>
      <c r="BB97" s="23121"/>
      <c r="BC97" s="23121"/>
      <c r="BD97" s="23121"/>
      <c r="BE97" s="23121"/>
      <c r="BF97" s="23121"/>
      <c r="BG97" s="23121"/>
      <c r="BH97" s="23121"/>
      <c r="BI97" s="23121"/>
      <c r="BJ97" s="23121"/>
      <c r="BK97" s="23121"/>
      <c r="BL97" s="23121"/>
      <c r="BM97" s="23121"/>
      <c r="BN97" s="23121"/>
      <c r="BO97" s="23121"/>
      <c r="BP97" s="23121"/>
      <c r="BQ97" s="23121"/>
      <c r="BR97" s="23121"/>
      <c r="BS97" s="23121"/>
      <c r="BT97" s="23161"/>
      <c r="BU97" s="23339"/>
      <c r="BV97" s="23339" t="str">
        <f>IF(T97="","",T97)</f>
        <v>Добавить централизованную систему для дифференциации</v>
      </c>
      <c r="BW97" s="23339"/>
      <c r="BX97" s="23339"/>
      <c r="BY97" s="23161">
        <v>0</v>
      </c>
    </row>
    <row s="61685" customFormat="1" customHeight="1" ht="0.75">
      <c r="A98" s="23531"/>
      <c r="B98" s="23531"/>
      <c r="C98" s="23531"/>
      <c r="D98" s="23531"/>
      <c r="E98" s="23329" t="s">
        <v>91</v>
      </c>
      <c r="F98" s="23531"/>
      <c r="G98" s="23531"/>
      <c r="H98" s="23531"/>
      <c r="I98" s="23531"/>
      <c r="J98" s="23531"/>
      <c r="K98" s="23531"/>
      <c r="L98" s="23532"/>
      <c r="M98" s="23539"/>
      <c r="N98" s="23539"/>
      <c r="O98" s="23161"/>
      <c r="P98" s="23534"/>
      <c r="Q98" s="23535"/>
      <c r="R98" s="23534"/>
      <c r="S98" s="23540"/>
      <c r="T98" s="23543" t="s">
        <v>173</v>
      </c>
      <c r="U98" s="23121"/>
      <c r="V98" s="23121"/>
      <c r="W98" s="23121"/>
      <c r="X98" s="23121"/>
      <c r="Y98" s="23121"/>
      <c r="Z98" s="23121"/>
      <c r="AA98" s="23121"/>
      <c r="AB98" s="23121"/>
      <c r="AC98" s="23121"/>
      <c r="AD98" s="23121"/>
      <c r="AE98" s="23121"/>
      <c r="AF98" s="23121"/>
      <c r="AG98" s="23121"/>
      <c r="AH98" s="23121"/>
      <c r="AI98" s="23121"/>
      <c r="AJ98" s="23121"/>
      <c r="AK98" s="23121"/>
      <c r="AL98" s="23121"/>
      <c r="AM98" s="23121"/>
      <c r="AN98" s="23121"/>
      <c r="AO98" s="23121"/>
      <c r="AP98" s="23121"/>
      <c r="AQ98" s="23121"/>
      <c r="AR98" s="23121"/>
      <c r="AS98" s="23121"/>
      <c r="AT98" s="23121"/>
      <c r="AU98" s="23121"/>
      <c r="AV98" s="23121"/>
      <c r="AW98" s="23121"/>
      <c r="AX98" s="23121"/>
      <c r="AY98" s="23121"/>
      <c r="AZ98" s="23121"/>
      <c r="BA98" s="23121"/>
      <c r="BB98" s="23121"/>
      <c r="BC98" s="23121"/>
      <c r="BD98" s="23121"/>
      <c r="BE98" s="23121"/>
      <c r="BF98" s="23121"/>
      <c r="BG98" s="23121"/>
      <c r="BH98" s="23121"/>
      <c r="BI98" s="23121"/>
      <c r="BJ98" s="23121"/>
      <c r="BK98" s="23121"/>
      <c r="BL98" s="23121"/>
      <c r="BM98" s="23121"/>
      <c r="BN98" s="23121"/>
      <c r="BO98" s="23121"/>
      <c r="BP98" s="23121"/>
      <c r="BQ98" s="23121"/>
      <c r="BR98" s="23121"/>
      <c r="BS98" s="23121"/>
      <c r="BT98" s="23161"/>
      <c r="BU98" s="23339"/>
      <c r="BV98" s="23339" t="str">
        <f>IF(T98="","",T98)</f>
        <v>Добавить территорию для дифференциации</v>
      </c>
      <c r="BW98" s="23339"/>
      <c r="BX98" s="23339"/>
      <c r="BY98" s="23161">
        <v>0</v>
      </c>
    </row>
    <row s="63225" customFormat="1" customHeight="1" ht="21">
      <c r="A99" s="23328" t="s">
        <v>211</v>
      </c>
      <c r="B99" s="23328"/>
      <c r="C99" s="23328"/>
      <c r="D99" s="23328"/>
      <c r="E99" s="23329" t="s">
        <v>119</v>
      </c>
      <c r="F99" s="23328"/>
      <c r="G99" s="23328"/>
      <c r="H99" s="23328"/>
      <c r="I99" s="23328"/>
      <c r="J99" s="23328"/>
      <c r="K99" s="23328"/>
      <c r="L99" s="23330"/>
      <c r="M99" s="23331"/>
      <c r="N99" s="23331"/>
      <c r="O99" s="23331"/>
      <c r="P99" s="23332"/>
      <c r="Q99" s="23333"/>
      <c r="R99" s="23334"/>
      <c r="S99" s="23335" t="str">
        <f>INDEX(PT_DIFFERENTIATION_NUM_NTAR,MATCH(A99,PT_DIFFERENTIATION_NTAR_ID,0))</f>
        <v>5</v>
      </c>
      <c r="T99" s="23336" t="s">
        <v>131</v>
      </c>
      <c r="U99" s="23337"/>
      <c r="V99" s="22958"/>
      <c r="W99" s="22959"/>
      <c r="X99" s="22959"/>
      <c r="Y99" s="22959"/>
      <c r="Z99" s="22959"/>
      <c r="AA99" s="22959"/>
      <c r="AB99" s="22959"/>
      <c r="AC99" s="22960"/>
      <c r="AD99" s="22958" t="str">
        <f>INDEX(PT_DIFFERENTIATION_NTAR,MATCH(A99,PT_DIFFERENTIATION_NTAR_ID,0))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AE99" s="22959"/>
      <c r="AF99" s="22959"/>
      <c r="AG99" s="22959"/>
      <c r="AH99" s="22959"/>
      <c r="AI99" s="22959"/>
      <c r="AJ99" s="22959"/>
      <c r="AK99" s="22959"/>
      <c r="AL99" s="22958"/>
      <c r="AM99" s="22959"/>
      <c r="AN99" s="22959"/>
      <c r="AO99" s="22959"/>
      <c r="AP99" s="22959"/>
      <c r="AQ99" s="22959"/>
      <c r="AR99" s="22959"/>
      <c r="AS99" s="22960"/>
      <c r="AT99" s="22958"/>
      <c r="AU99" s="22959"/>
      <c r="AV99" s="22959"/>
      <c r="AW99" s="22959"/>
      <c r="AX99" s="22959"/>
      <c r="AY99" s="22959"/>
      <c r="AZ99" s="22959"/>
      <c r="BA99" s="22960"/>
      <c r="BB99" s="22958"/>
      <c r="BC99" s="22959"/>
      <c r="BD99" s="22959"/>
      <c r="BE99" s="22959"/>
      <c r="BF99" s="22959"/>
      <c r="BG99" s="22959"/>
      <c r="BH99" s="22959"/>
      <c r="BI99" s="22960"/>
      <c r="BJ99" s="22958"/>
      <c r="BK99" s="22959"/>
      <c r="BL99" s="22959"/>
      <c r="BM99" s="22959"/>
      <c r="BN99" s="22959"/>
      <c r="BO99" s="22959"/>
      <c r="BP99" s="22959"/>
      <c r="BQ99" s="22960"/>
      <c r="BR99" s="22960"/>
      <c r="BS99" s="23338" t="s">
        <v>471</v>
      </c>
      <c r="BT99" s="23161"/>
      <c r="BU99" s="23339"/>
      <c r="BV99" s="23339" t="str">
        <f>IF(T99="","",T99)</f>
        <v>Наименование тарифа</v>
      </c>
      <c r="BW99" s="23339"/>
      <c r="BX99" s="23339"/>
      <c r="BY99" s="22944">
        <v>0</v>
      </c>
    </row>
    <row s="63225" customFormat="1" customHeight="1" ht="21">
      <c r="A100" s="23328"/>
      <c r="B100" s="23328" t="s">
        <v>212</v>
      </c>
      <c r="C100" s="23328"/>
      <c r="D100" s="23328"/>
      <c r="E100" s="23341" t="s">
        <v>92</v>
      </c>
      <c r="F100" s="23329">
        <v>1</v>
      </c>
      <c r="G100" s="23328"/>
      <c r="H100" s="23328"/>
      <c r="I100" s="23328"/>
      <c r="J100" s="23328"/>
      <c r="K100" s="23328"/>
      <c r="L100" s="23330"/>
      <c r="M100" s="23331"/>
      <c r="N100" s="23331"/>
      <c r="O100" s="23331"/>
      <c r="P100" s="23342"/>
      <c r="Q100" s="23343"/>
      <c r="R100" s="23344"/>
      <c r="S100" s="23335" t="str">
        <f>INDEX(PT_DIFFERENTIATION_NUM_TER,MATCH(B100,PT_DIFFERENTIATION_TER_ID,0))</f>
        <v>5.1</v>
      </c>
      <c r="T100" s="23345" t="s">
        <v>472</v>
      </c>
      <c r="U100" s="23337"/>
      <c r="V100" s="22958"/>
      <c r="W100" s="22959"/>
      <c r="X100" s="22959"/>
      <c r="Y100" s="22959"/>
      <c r="Z100" s="22959"/>
      <c r="AA100" s="22959"/>
      <c r="AB100" s="22959"/>
      <c r="AC100" s="22960"/>
      <c r="AD100" s="22958" t="str">
        <f>INDEX(PT_DIFFERENTIATION_TER,MATCH(B100,PT_DIFFERENTIATION_TER_ID,0))</f>
        <v>Территория 2</v>
      </c>
      <c r="AE100" s="22959"/>
      <c r="AF100" s="22959"/>
      <c r="AG100" s="22959"/>
      <c r="AH100" s="22959"/>
      <c r="AI100" s="22959"/>
      <c r="AJ100" s="22959"/>
      <c r="AK100" s="22959"/>
      <c r="AL100" s="22958"/>
      <c r="AM100" s="22959"/>
      <c r="AN100" s="22959"/>
      <c r="AO100" s="22959"/>
      <c r="AP100" s="22959"/>
      <c r="AQ100" s="22959"/>
      <c r="AR100" s="22959"/>
      <c r="AS100" s="22960"/>
      <c r="AT100" s="22958"/>
      <c r="AU100" s="22959"/>
      <c r="AV100" s="22959"/>
      <c r="AW100" s="22959"/>
      <c r="AX100" s="22959"/>
      <c r="AY100" s="22959"/>
      <c r="AZ100" s="22959"/>
      <c r="BA100" s="22960"/>
      <c r="BB100" s="22958"/>
      <c r="BC100" s="22959"/>
      <c r="BD100" s="22959"/>
      <c r="BE100" s="22959"/>
      <c r="BF100" s="22959"/>
      <c r="BG100" s="22959"/>
      <c r="BH100" s="22959"/>
      <c r="BI100" s="22960"/>
      <c r="BJ100" s="22958"/>
      <c r="BK100" s="22959"/>
      <c r="BL100" s="22959"/>
      <c r="BM100" s="22959"/>
      <c r="BN100" s="22959"/>
      <c r="BO100" s="22959"/>
      <c r="BP100" s="22959"/>
      <c r="BQ100" s="22960"/>
      <c r="BR100" s="22960"/>
      <c r="BS100" s="23338" t="s">
        <v>473</v>
      </c>
      <c r="BT100" s="23161"/>
      <c r="BU100" s="23339"/>
      <c r="BV100" s="23339" t="str">
        <f>IF(T100="","",T100)</f>
        <v>Территория действия тарифа</v>
      </c>
      <c r="BW100" s="23339"/>
      <c r="BX100" s="23339"/>
      <c r="BY100" s="22944">
        <v>0</v>
      </c>
    </row>
    <row s="63225" customFormat="1" customHeight="1" ht="23.25">
      <c r="A101" s="23328"/>
      <c r="B101" s="23328"/>
      <c r="C101" s="23328" t="s">
        <v>213</v>
      </c>
      <c r="D101" s="23328"/>
      <c r="E101" s="23341" t="s">
        <v>92</v>
      </c>
      <c r="F101" s="23341"/>
      <c r="G101" s="23329">
        <v>1</v>
      </c>
      <c r="H101" s="23328"/>
      <c r="I101" s="23328"/>
      <c r="J101" s="23328"/>
      <c r="K101" s="23328"/>
      <c r="L101" s="23330"/>
      <c r="M101" s="23331"/>
      <c r="N101" s="23331"/>
      <c r="O101" s="23331"/>
      <c r="P101" s="23347"/>
      <c r="Q101" s="23343"/>
      <c r="R101" s="23344"/>
      <c r="S101" s="23335" t="str">
        <f>INDEX(PT_DIFFERENTIATION_NUM_CS,MATCH(C101,PT_DIFFERENTIATION_CS_ID,0))</f>
        <v>5.1.1</v>
      </c>
      <c r="T101" s="23348" t="s">
        <v>474</v>
      </c>
      <c r="U101" s="23337"/>
      <c r="V101" s="22958"/>
      <c r="W101" s="22959"/>
      <c r="X101" s="22959"/>
      <c r="Y101" s="22959"/>
      <c r="Z101" s="22959"/>
      <c r="AA101" s="22959"/>
      <c r="AB101" s="22959"/>
      <c r="AC101" s="22960"/>
      <c r="AD101" s="22958" t="str">
        <f>INDEX(PT_DIFFERENTIATION_CS,MATCH(C101,PT_DIFFERENTIATION_CS_ID,0))</f>
        <v>без дифференциации</v>
      </c>
      <c r="AE101" s="22959"/>
      <c r="AF101" s="22959"/>
      <c r="AG101" s="22959"/>
      <c r="AH101" s="22959"/>
      <c r="AI101" s="22959"/>
      <c r="AJ101" s="22959"/>
      <c r="AK101" s="22959"/>
      <c r="AL101" s="22958"/>
      <c r="AM101" s="22959"/>
      <c r="AN101" s="22959"/>
      <c r="AO101" s="22959"/>
      <c r="AP101" s="22959"/>
      <c r="AQ101" s="22959"/>
      <c r="AR101" s="22959"/>
      <c r="AS101" s="22960"/>
      <c r="AT101" s="22958"/>
      <c r="AU101" s="22959"/>
      <c r="AV101" s="22959"/>
      <c r="AW101" s="22959"/>
      <c r="AX101" s="22959"/>
      <c r="AY101" s="22959"/>
      <c r="AZ101" s="22959"/>
      <c r="BA101" s="22960"/>
      <c r="BB101" s="22958"/>
      <c r="BC101" s="22959"/>
      <c r="BD101" s="22959"/>
      <c r="BE101" s="22959"/>
      <c r="BF101" s="22959"/>
      <c r="BG101" s="22959"/>
      <c r="BH101" s="22959"/>
      <c r="BI101" s="22960"/>
      <c r="BJ101" s="22958"/>
      <c r="BK101" s="22959"/>
      <c r="BL101" s="22959"/>
      <c r="BM101" s="22959"/>
      <c r="BN101" s="22959"/>
      <c r="BO101" s="22959"/>
      <c r="BP101" s="22959"/>
      <c r="BQ101" s="22960"/>
      <c r="BR101" s="22960"/>
      <c r="BS101" s="23338" t="s">
        <v>475</v>
      </c>
      <c r="BT101" s="23161"/>
      <c r="BU101" s="23339"/>
      <c r="BV101" s="23339" t="str">
        <f>IF(T101="","",T101)</f>
        <v>Наименование системы теплоснабжения </v>
      </c>
      <c r="BW101" s="23339"/>
      <c r="BX101" s="23339"/>
      <c r="BY101" s="22944">
        <v>0</v>
      </c>
    </row>
    <row s="63225" customFormat="1" customHeight="1" ht="21">
      <c r="A102" s="23328"/>
      <c r="B102" s="23328"/>
      <c r="C102" s="23328"/>
      <c r="D102" s="23328" t="s">
        <v>214</v>
      </c>
      <c r="E102" s="23341" t="s">
        <v>92</v>
      </c>
      <c r="F102" s="23341"/>
      <c r="G102" s="23341"/>
      <c r="H102" s="23329">
        <v>1</v>
      </c>
      <c r="I102" s="23328"/>
      <c r="J102" s="23328"/>
      <c r="K102" s="23328"/>
      <c r="L102" s="23330"/>
      <c r="M102" s="23331"/>
      <c r="N102" s="23331"/>
      <c r="O102" s="23331"/>
      <c r="P102" s="23347"/>
      <c r="Q102" s="23343"/>
      <c r="R102" s="23344"/>
      <c r="S102" s="23335" t="str">
        <f>INDEX(PT_DIFFERENTIATION_NUM_IST_TE,MATCH(D102,PT_DIFFERENTIATION_IST_TE_ID,0))</f>
        <v>5.1.1.1</v>
      </c>
      <c r="T102" s="23350" t="s">
        <v>476</v>
      </c>
      <c r="U102" s="23337"/>
      <c r="V102" s="22958"/>
      <c r="W102" s="22959"/>
      <c r="X102" s="22959"/>
      <c r="Y102" s="22959"/>
      <c r="Z102" s="22959"/>
      <c r="AA102" s="22959"/>
      <c r="AB102" s="22959"/>
      <c r="AC102" s="22960"/>
      <c r="AD102" s="22958" t="str">
        <f>INDEX(PT_DIFFERENTIATION_IST_TE,MATCH(D102,PT_DIFFERENTIATION_IST_TE_ID,0))</f>
        <v>без дифференциации</v>
      </c>
      <c r="AE102" s="22959"/>
      <c r="AF102" s="22959"/>
      <c r="AG102" s="22959"/>
      <c r="AH102" s="22959"/>
      <c r="AI102" s="22959"/>
      <c r="AJ102" s="22959"/>
      <c r="AK102" s="22959"/>
      <c r="AL102" s="22958"/>
      <c r="AM102" s="22959"/>
      <c r="AN102" s="22959"/>
      <c r="AO102" s="22959"/>
      <c r="AP102" s="22959"/>
      <c r="AQ102" s="22959"/>
      <c r="AR102" s="22959"/>
      <c r="AS102" s="22960"/>
      <c r="AT102" s="22958"/>
      <c r="AU102" s="22959"/>
      <c r="AV102" s="22959"/>
      <c r="AW102" s="22959"/>
      <c r="AX102" s="22959"/>
      <c r="AY102" s="22959"/>
      <c r="AZ102" s="22959"/>
      <c r="BA102" s="22960"/>
      <c r="BB102" s="22958"/>
      <c r="BC102" s="22959"/>
      <c r="BD102" s="22959"/>
      <c r="BE102" s="22959"/>
      <c r="BF102" s="22959"/>
      <c r="BG102" s="22959"/>
      <c r="BH102" s="22959"/>
      <c r="BI102" s="22960"/>
      <c r="BJ102" s="22958"/>
      <c r="BK102" s="22959"/>
      <c r="BL102" s="22959"/>
      <c r="BM102" s="22959"/>
      <c r="BN102" s="22959"/>
      <c r="BO102" s="22959"/>
      <c r="BP102" s="22959"/>
      <c r="BQ102" s="22960"/>
      <c r="BR102" s="22960"/>
      <c r="BS102" s="23338" t="s">
        <v>477</v>
      </c>
      <c r="BT102" s="23161"/>
      <c r="BU102" s="23339"/>
      <c r="BV102" s="23339" t="str">
        <f>IF(T102="","",T102)</f>
        <v>Источник тепловой энергии  </v>
      </c>
      <c r="BW102" s="23339"/>
      <c r="BX102" s="23339"/>
      <c r="BY102" s="22944">
        <v>0</v>
      </c>
    </row>
    <row s="63225" customFormat="1" customHeight="1" ht="47.25">
      <c r="A103" s="23328"/>
      <c r="B103" s="23328"/>
      <c r="C103" s="23328"/>
      <c r="D103" s="23328"/>
      <c r="E103" s="23341" t="s">
        <v>92</v>
      </c>
      <c r="F103" s="23341"/>
      <c r="G103" s="23341"/>
      <c r="H103" s="23341"/>
      <c r="I103" s="23352" t="str">
        <f>S102&amp;".1"</f>
        <v>5.1.1.1.1</v>
      </c>
      <c r="J103" s="23328"/>
      <c r="K103" s="23328"/>
      <c r="L103" s="23330" t="s">
        <v>478</v>
      </c>
      <c r="M103" s="23133"/>
      <c r="N103" s="23353"/>
      <c r="O103" s="23353"/>
      <c r="P103" s="23354">
        <v>1</v>
      </c>
      <c r="Q103" s="23354"/>
      <c r="R103" s="23355"/>
      <c r="S103" s="23335" t="str">
        <f>$I103</f>
        <v>5.1.1.1.1</v>
      </c>
      <c r="T103" s="23356" t="s">
        <v>479</v>
      </c>
      <c r="U103" s="23337"/>
      <c r="V103" s="22979"/>
      <c r="W103" s="22980"/>
      <c r="X103" s="22980"/>
      <c r="Y103" s="22980"/>
      <c r="Z103" s="22980"/>
      <c r="AA103" s="22980"/>
      <c r="AB103" s="22980"/>
      <c r="AC103" s="22981"/>
      <c r="AD103" s="22979" t="s">
        <v>521</v>
      </c>
      <c r="AE103" s="22980"/>
      <c r="AF103" s="22980"/>
      <c r="AG103" s="22980"/>
      <c r="AH103" s="22980"/>
      <c r="AI103" s="22980"/>
      <c r="AJ103" s="22980"/>
      <c r="AK103" s="22980"/>
      <c r="AL103" s="22979"/>
      <c r="AM103" s="22980"/>
      <c r="AN103" s="22980"/>
      <c r="AO103" s="22980"/>
      <c r="AP103" s="22980"/>
      <c r="AQ103" s="22980"/>
      <c r="AR103" s="22980"/>
      <c r="AS103" s="22981"/>
      <c r="AT103" s="22979"/>
      <c r="AU103" s="22980"/>
      <c r="AV103" s="22980"/>
      <c r="AW103" s="22980"/>
      <c r="AX103" s="22980"/>
      <c r="AY103" s="22980"/>
      <c r="AZ103" s="22980"/>
      <c r="BA103" s="22981"/>
      <c r="BB103" s="22979"/>
      <c r="BC103" s="22980"/>
      <c r="BD103" s="22980"/>
      <c r="BE103" s="22980"/>
      <c r="BF103" s="22980"/>
      <c r="BG103" s="22980"/>
      <c r="BH103" s="22980"/>
      <c r="BI103" s="22981"/>
      <c r="BJ103" s="22979"/>
      <c r="BK103" s="22980"/>
      <c r="BL103" s="22980"/>
      <c r="BM103" s="22980"/>
      <c r="BN103" s="22980"/>
      <c r="BO103" s="22980"/>
      <c r="BP103" s="22980"/>
      <c r="BQ103" s="22981"/>
      <c r="BR103" s="22981"/>
      <c r="BS103" s="23338" t="s">
        <v>480</v>
      </c>
      <c r="BT103" s="23161"/>
      <c r="BU103" s="23339"/>
      <c r="BV103" s="23339" t="str">
        <f>IF(T103="","",T103)</f>
        <v>Схема подключения теплопотребляющей установки к коллектору источника тепловой энергии</v>
      </c>
      <c r="BW103" s="23339"/>
      <c r="BX103" s="23339"/>
      <c r="BY103" s="22944">
        <v>0</v>
      </c>
    </row>
    <row s="63225" customFormat="1" customHeight="1" ht="21">
      <c r="A104" s="23328"/>
      <c r="B104" s="23328"/>
      <c r="C104" s="23328"/>
      <c r="D104" s="23328"/>
      <c r="E104" s="23341" t="s">
        <v>92</v>
      </c>
      <c r="F104" s="23341"/>
      <c r="G104" s="23341"/>
      <c r="H104" s="23341"/>
      <c r="I104" s="23358"/>
      <c r="J104" s="23352" t="str">
        <f>I103&amp;".1"</f>
        <v>5.1.1.1.1.1</v>
      </c>
      <c r="K104" s="23328"/>
      <c r="L104" s="23330" t="s">
        <v>481</v>
      </c>
      <c r="M104" s="23133"/>
      <c r="N104" s="23133"/>
      <c r="O104" s="23353"/>
      <c r="P104" s="23354"/>
      <c r="Q104" s="23354">
        <v>1</v>
      </c>
      <c r="R104" s="23359"/>
      <c r="S104" s="23335" t="str">
        <f>$J104</f>
        <v>5.1.1.1.1.1</v>
      </c>
      <c r="T104" s="23360" t="s">
        <v>482</v>
      </c>
      <c r="U104" s="23337"/>
      <c r="V104" s="22979"/>
      <c r="W104" s="22980"/>
      <c r="X104" s="22980"/>
      <c r="Y104" s="22980"/>
      <c r="Z104" s="22980"/>
      <c r="AA104" s="22980"/>
      <c r="AB104" s="22980"/>
      <c r="AC104" s="22981"/>
      <c r="AD104" s="22979" t="s">
        <v>521</v>
      </c>
      <c r="AE104" s="22980"/>
      <c r="AF104" s="22980"/>
      <c r="AG104" s="22980"/>
      <c r="AH104" s="22980"/>
      <c r="AI104" s="22980"/>
      <c r="AJ104" s="22980"/>
      <c r="AK104" s="22980"/>
      <c r="AL104" s="22979"/>
      <c r="AM104" s="22980"/>
      <c r="AN104" s="22980"/>
      <c r="AO104" s="22980"/>
      <c r="AP104" s="22980"/>
      <c r="AQ104" s="22980"/>
      <c r="AR104" s="22980"/>
      <c r="AS104" s="22981"/>
      <c r="AT104" s="22979"/>
      <c r="AU104" s="22980"/>
      <c r="AV104" s="22980"/>
      <c r="AW104" s="22980"/>
      <c r="AX104" s="22980"/>
      <c r="AY104" s="22980"/>
      <c r="AZ104" s="22980"/>
      <c r="BA104" s="22981"/>
      <c r="BB104" s="22979"/>
      <c r="BC104" s="22980"/>
      <c r="BD104" s="22980"/>
      <c r="BE104" s="22980"/>
      <c r="BF104" s="22980"/>
      <c r="BG104" s="22980"/>
      <c r="BH104" s="22980"/>
      <c r="BI104" s="22981"/>
      <c r="BJ104" s="22979"/>
      <c r="BK104" s="22980"/>
      <c r="BL104" s="22980"/>
      <c r="BM104" s="22980"/>
      <c r="BN104" s="22980"/>
      <c r="BO104" s="22980"/>
      <c r="BP104" s="22980"/>
      <c r="BQ104" s="22981"/>
      <c r="BR104" s="22981"/>
      <c r="BS104" s="23338" t="s">
        <v>483</v>
      </c>
      <c r="BT104" s="23161"/>
      <c r="BU104" s="23339"/>
      <c r="BV104" s="23339" t="str">
        <f>IF(T104="","",T104)</f>
        <v>Группа потребителей</v>
      </c>
      <c r="BW104" s="23339"/>
      <c r="BX104" s="23339"/>
      <c r="BY104" s="22944">
        <v>0</v>
      </c>
    </row>
    <row s="63225" customFormat="1" customHeight="1" ht="21">
      <c r="A105" s="23328"/>
      <c r="B105" s="23328"/>
      <c r="C105" s="23328"/>
      <c r="D105" s="23328"/>
      <c r="E105" s="23341" t="s">
        <v>92</v>
      </c>
      <c r="F105" s="23341"/>
      <c r="G105" s="23341"/>
      <c r="H105" s="23341"/>
      <c r="I105" s="23358"/>
      <c r="J105" s="23358"/>
      <c r="K105" s="23352" t="str">
        <f>J104&amp;".1"</f>
        <v>5.1.1.1.1.1.1</v>
      </c>
      <c r="L105" s="23330" t="s">
        <v>484</v>
      </c>
      <c r="M105" s="23133"/>
      <c r="N105" s="23133"/>
      <c r="O105" s="23133"/>
      <c r="P105" s="23354"/>
      <c r="Q105" s="23354"/>
      <c r="R105" s="23359">
        <v>1</v>
      </c>
      <c r="S105" s="23335" t="str">
        <f>$K105</f>
        <v>5.1.1.1.1.1.1</v>
      </c>
      <c r="T105" s="23362" t="s">
        <v>522</v>
      </c>
      <c r="U105" s="23337"/>
      <c r="V105" s="22991"/>
      <c r="W105" s="22992"/>
      <c r="X105" s="22991"/>
      <c r="Y105" s="22993"/>
      <c r="Z105" s="22994"/>
      <c r="AA105" s="22349" t="s">
        <v>67</v>
      </c>
      <c r="AB105" s="22994"/>
      <c r="AC105" s="22349" t="s">
        <v>67</v>
      </c>
      <c r="AD105" s="22991">
        <v>1804.56</v>
      </c>
      <c r="AE105" s="22992"/>
      <c r="AF105" s="22991">
        <v>1089.48</v>
      </c>
      <c r="AG105" s="22993">
        <v>91.948</v>
      </c>
      <c r="AH105" s="22994">
        <v>45292</v>
      </c>
      <c r="AI105" s="22349" t="s">
        <v>67</v>
      </c>
      <c r="AJ105" s="22994">
        <v>45657</v>
      </c>
      <c r="AK105" s="22349" t="s">
        <v>67</v>
      </c>
      <c r="AL105" s="22991">
        <v>2182.49</v>
      </c>
      <c r="AM105" s="22992"/>
      <c r="AN105" s="22991">
        <v>1066.08</v>
      </c>
      <c r="AO105" s="22993">
        <v>227.20567</v>
      </c>
      <c r="AP105" s="22994">
        <v>45658</v>
      </c>
      <c r="AQ105" s="22349" t="s">
        <v>67</v>
      </c>
      <c r="AR105" s="22994">
        <v>46022</v>
      </c>
      <c r="AS105" s="22349" t="s">
        <v>67</v>
      </c>
      <c r="AT105" s="22991">
        <v>2955.7</v>
      </c>
      <c r="AU105" s="22992"/>
      <c r="AV105" s="22991">
        <v>1236.07</v>
      </c>
      <c r="AW105" s="22993">
        <v>331.46261</v>
      </c>
      <c r="AX105" s="22994">
        <v>46023</v>
      </c>
      <c r="AY105" s="22349" t="s">
        <v>67</v>
      </c>
      <c r="AZ105" s="22994">
        <v>46387</v>
      </c>
      <c r="BA105" s="22349" t="s">
        <v>67</v>
      </c>
      <c r="BB105" s="22991">
        <v>1669.98</v>
      </c>
      <c r="BC105" s="22992"/>
      <c r="BD105" s="22991">
        <v>1333.37</v>
      </c>
      <c r="BE105" s="22993">
        <v>69.758</v>
      </c>
      <c r="BF105" s="22994">
        <v>46388</v>
      </c>
      <c r="BG105" s="22349" t="s">
        <v>67</v>
      </c>
      <c r="BH105" s="22994">
        <v>46752</v>
      </c>
      <c r="BI105" s="22349" t="s">
        <v>67</v>
      </c>
      <c r="BJ105" s="22991">
        <v>1725.22</v>
      </c>
      <c r="BK105" s="22992"/>
      <c r="BL105" s="22991">
        <v>1426.29</v>
      </c>
      <c r="BM105" s="22993">
        <v>70.253</v>
      </c>
      <c r="BN105" s="22994">
        <v>46753</v>
      </c>
      <c r="BO105" s="22349" t="s">
        <v>67</v>
      </c>
      <c r="BP105" s="22994">
        <v>47118</v>
      </c>
      <c r="BQ105" s="22349" t="s">
        <v>67</v>
      </c>
      <c r="BR105" s="22992"/>
      <c r="BS105" s="23363" t="s">
        <v>485</v>
      </c>
      <c r="BT105" s="23161">
        <f>STRCHECKDATE(V106:BR106)</f>
      </c>
      <c r="BU105" s="23339"/>
      <c r="BV105" s="23339" t="str">
        <f>IF(T105="","",T105)</f>
        <v>вода</v>
      </c>
      <c r="BW105" s="23339"/>
      <c r="BX105" s="23339"/>
      <c r="BY105" s="22944">
        <v>0</v>
      </c>
    </row>
    <row s="63225" customFormat="1" customHeight="1" ht="0.75">
      <c r="A106" s="23328"/>
      <c r="B106" s="23328"/>
      <c r="C106" s="23328"/>
      <c r="D106" s="23328"/>
      <c r="E106" s="23341" t="s">
        <v>92</v>
      </c>
      <c r="F106" s="23341"/>
      <c r="G106" s="23341"/>
      <c r="H106" s="23341"/>
      <c r="I106" s="23358"/>
      <c r="J106" s="23358"/>
      <c r="K106" s="23352"/>
      <c r="L106" s="23330"/>
      <c r="M106" s="23133"/>
      <c r="N106" s="23133"/>
      <c r="O106" s="23133"/>
      <c r="P106" s="23354"/>
      <c r="Q106" s="23354"/>
      <c r="R106" s="23359"/>
      <c r="S106" s="23365"/>
      <c r="T106" s="23337"/>
      <c r="U106" s="23337"/>
      <c r="V106" s="22992"/>
      <c r="W106" s="22992"/>
      <c r="X106" s="22992"/>
      <c r="Y106" s="22999" t="str">
        <f>Z105&amp;"-"&amp;AB105</f>
        <v>-</v>
      </c>
      <c r="Z106" s="23000"/>
      <c r="AA106" s="22349"/>
      <c r="AB106" s="23000"/>
      <c r="AC106" s="22349"/>
      <c r="AD106" s="22992"/>
      <c r="AE106" s="22992"/>
      <c r="AF106" s="22992"/>
      <c r="AG106" s="22999" t="str">
        <f>AH105&amp;"-"&amp;AJ105</f>
        <v>45292-45657</v>
      </c>
      <c r="AH106" s="23000"/>
      <c r="AI106" s="22349"/>
      <c r="AJ106" s="23000"/>
      <c r="AK106" s="22349"/>
      <c r="AL106" s="22992"/>
      <c r="AM106" s="22992"/>
      <c r="AN106" s="22992"/>
      <c r="AO106" s="22999" t="str">
        <f>AP105&amp;"-"&amp;AR105</f>
        <v>45658-46022</v>
      </c>
      <c r="AP106" s="23000"/>
      <c r="AQ106" s="22349"/>
      <c r="AR106" s="23000"/>
      <c r="AS106" s="22349"/>
      <c r="AT106" s="22992"/>
      <c r="AU106" s="22992"/>
      <c r="AV106" s="22992"/>
      <c r="AW106" s="22999" t="str">
        <f>AX105&amp;"-"&amp;AZ105</f>
        <v>46023-46387</v>
      </c>
      <c r="AX106" s="23000"/>
      <c r="AY106" s="22349"/>
      <c r="AZ106" s="23000"/>
      <c r="BA106" s="22349"/>
      <c r="BB106" s="22992"/>
      <c r="BC106" s="22992"/>
      <c r="BD106" s="22992"/>
      <c r="BE106" s="22999" t="str">
        <f>BF105&amp;"-"&amp;BH105</f>
        <v>46388-46752</v>
      </c>
      <c r="BF106" s="23000"/>
      <c r="BG106" s="22349"/>
      <c r="BH106" s="23000"/>
      <c r="BI106" s="22349"/>
      <c r="BJ106" s="22992"/>
      <c r="BK106" s="22992"/>
      <c r="BL106" s="22992"/>
      <c r="BM106" s="22999" t="str">
        <f>BN105&amp;"-"&amp;BP105</f>
        <v>46753-47118</v>
      </c>
      <c r="BN106" s="23000"/>
      <c r="BO106" s="22349"/>
      <c r="BP106" s="23000"/>
      <c r="BQ106" s="22349"/>
      <c r="BR106" s="22992"/>
      <c r="BS106" s="23366"/>
      <c r="BT106" s="23161"/>
      <c r="BU106" s="23339"/>
      <c r="BV106" s="23339" t="str">
        <f>IF(T106="","",T106)</f>
        <v/>
      </c>
      <c r="BW106" s="23339"/>
      <c r="BX106" s="23339"/>
      <c r="BY106" s="22944">
        <v>0</v>
      </c>
    </row>
    <row s="63225" customFormat="1" customHeight="1" ht="15">
      <c r="A107" s="23328"/>
      <c r="B107" s="23328"/>
      <c r="C107" s="23328"/>
      <c r="D107" s="23328"/>
      <c r="E107" s="23341" t="s">
        <v>92</v>
      </c>
      <c r="F107" s="23341"/>
      <c r="G107" s="23341"/>
      <c r="H107" s="23341"/>
      <c r="I107" s="23358"/>
      <c r="J107" s="23352"/>
      <c r="K107" s="23328"/>
      <c r="L107" s="23330"/>
      <c r="M107" s="23133"/>
      <c r="N107" s="23133"/>
      <c r="O107" s="23353"/>
      <c r="P107" s="23354"/>
      <c r="Q107" s="23354"/>
      <c r="R107" s="23355"/>
      <c r="S107" s="24452"/>
      <c r="T107" s="24453" t="s">
        <v>486</v>
      </c>
      <c r="U107" s="24454"/>
      <c r="V107" s="24455"/>
      <c r="W107" s="24456"/>
      <c r="X107" s="24457"/>
      <c r="Y107" s="24458"/>
      <c r="Z107" s="24459"/>
      <c r="AA107" s="24460"/>
      <c r="AB107" s="24461"/>
      <c r="AC107" s="24462"/>
      <c r="AD107" s="24463"/>
      <c r="AE107" s="24464"/>
      <c r="AF107" s="24465"/>
      <c r="AG107" s="24466"/>
      <c r="AH107" s="24467"/>
      <c r="AI107" s="24468"/>
      <c r="AJ107" s="24469"/>
      <c r="AK107" s="24470"/>
      <c r="AL107" s="24471"/>
      <c r="AM107" s="24472"/>
      <c r="AN107" s="24473"/>
      <c r="AO107" s="24474"/>
      <c r="AP107" s="24475"/>
      <c r="AQ107" s="24476"/>
      <c r="AR107" s="24477"/>
      <c r="AS107" s="24478"/>
      <c r="AT107" s="24479"/>
      <c r="AU107" s="24480"/>
      <c r="AV107" s="24481"/>
      <c r="AW107" s="24482"/>
      <c r="AX107" s="24483"/>
      <c r="AY107" s="24484"/>
      <c r="AZ107" s="24485"/>
      <c r="BA107" s="24486"/>
      <c r="BB107" s="24487"/>
      <c r="BC107" s="24488"/>
      <c r="BD107" s="24489"/>
      <c r="BE107" s="24490"/>
      <c r="BF107" s="24491"/>
      <c r="BG107" s="24492"/>
      <c r="BH107" s="24493"/>
      <c r="BI107" s="24494"/>
      <c r="BJ107" s="24495"/>
      <c r="BK107" s="24496"/>
      <c r="BL107" s="24497"/>
      <c r="BM107" s="24498"/>
      <c r="BN107" s="24499"/>
      <c r="BO107" s="24500"/>
      <c r="BP107" s="24501"/>
      <c r="BQ107" s="24502"/>
      <c r="BR107" s="24503"/>
      <c r="BS107" s="23420"/>
      <c r="BT107" s="23161"/>
      <c r="BU107" s="23339"/>
      <c r="BV107" s="23339" t="str">
        <f>IF(T107="","",T107)</f>
        <v>Добавить вид теплоносителя (параметры теплоносителя)</v>
      </c>
      <c r="BW107" s="23339"/>
      <c r="BX107" s="23339"/>
      <c r="BY107" s="22944">
        <v>0</v>
      </c>
    </row>
    <row s="63225" customFormat="1" customHeight="1" ht="15">
      <c r="A108" s="23328"/>
      <c r="B108" s="23328"/>
      <c r="C108" s="23328"/>
      <c r="D108" s="23328"/>
      <c r="E108" s="23341" t="s">
        <v>92</v>
      </c>
      <c r="F108" s="23341"/>
      <c r="G108" s="23341"/>
      <c r="H108" s="23341"/>
      <c r="I108" s="23352"/>
      <c r="J108" s="23328"/>
      <c r="K108" s="23328"/>
      <c r="L108" s="23330"/>
      <c r="M108" s="23133"/>
      <c r="N108" s="23353"/>
      <c r="O108" s="23353"/>
      <c r="P108" s="23354"/>
      <c r="Q108" s="23354"/>
      <c r="R108" s="23355"/>
      <c r="S108" s="24505"/>
      <c r="T108" s="24506" t="s">
        <v>487</v>
      </c>
      <c r="U108" s="24507"/>
      <c r="V108" s="24508"/>
      <c r="W108" s="24509"/>
      <c r="X108" s="24510"/>
      <c r="Y108" s="24511"/>
      <c r="Z108" s="24512"/>
      <c r="AA108" s="24513"/>
      <c r="AB108" s="24514"/>
      <c r="AC108" s="24515"/>
      <c r="AD108" s="24516"/>
      <c r="AE108" s="24517"/>
      <c r="AF108" s="24518"/>
      <c r="AG108" s="24519"/>
      <c r="AH108" s="24520"/>
      <c r="AI108" s="24521"/>
      <c r="AJ108" s="24522"/>
      <c r="AK108" s="24523"/>
      <c r="AL108" s="24524"/>
      <c r="AM108" s="24525"/>
      <c r="AN108" s="24526"/>
      <c r="AO108" s="24527"/>
      <c r="AP108" s="24528"/>
      <c r="AQ108" s="24529"/>
      <c r="AR108" s="24530"/>
      <c r="AS108" s="24531"/>
      <c r="AT108" s="24532"/>
      <c r="AU108" s="24533"/>
      <c r="AV108" s="24534"/>
      <c r="AW108" s="24535"/>
      <c r="AX108" s="24536"/>
      <c r="AY108" s="24537"/>
      <c r="AZ108" s="24538"/>
      <c r="BA108" s="24539"/>
      <c r="BB108" s="24540"/>
      <c r="BC108" s="24541"/>
      <c r="BD108" s="24542"/>
      <c r="BE108" s="24543"/>
      <c r="BF108" s="24544"/>
      <c r="BG108" s="24545"/>
      <c r="BH108" s="24546"/>
      <c r="BI108" s="24547"/>
      <c r="BJ108" s="24548"/>
      <c r="BK108" s="24549"/>
      <c r="BL108" s="24550"/>
      <c r="BM108" s="24551"/>
      <c r="BN108" s="24552"/>
      <c r="BO108" s="24553"/>
      <c r="BP108" s="24554"/>
      <c r="BQ108" s="24555"/>
      <c r="BR108" s="24556"/>
      <c r="BS108" s="24557"/>
      <c r="BT108" s="23161"/>
      <c r="BU108" s="23339"/>
      <c r="BV108" s="23339" t="str">
        <f>IF(T108="","",T108)</f>
        <v>Добавить группу потребителей</v>
      </c>
      <c r="BW108" s="23339"/>
      <c r="BX108" s="23339"/>
      <c r="BY108" s="22944">
        <v>0</v>
      </c>
    </row>
    <row s="63225" customFormat="1" customHeight="1" ht="14.25">
      <c r="A109" s="23328"/>
      <c r="B109" s="23328"/>
      <c r="C109" s="23328"/>
      <c r="D109" s="23328"/>
      <c r="E109" s="23341" t="s">
        <v>92</v>
      </c>
      <c r="F109" s="23341"/>
      <c r="G109" s="23341"/>
      <c r="H109" s="23329"/>
      <c r="I109" s="23328"/>
      <c r="J109" s="23328"/>
      <c r="K109" s="23328"/>
      <c r="L109" s="23330"/>
      <c r="M109" s="23331"/>
      <c r="N109" s="23331"/>
      <c r="O109" s="23133"/>
      <c r="P109" s="23333"/>
      <c r="Q109" s="23476"/>
      <c r="R109" s="23334"/>
      <c r="S109" s="24559"/>
      <c r="T109" s="24560" t="s">
        <v>488</v>
      </c>
      <c r="U109" s="24561"/>
      <c r="V109" s="24562"/>
      <c r="W109" s="24563"/>
      <c r="X109" s="24564"/>
      <c r="Y109" s="24565"/>
      <c r="Z109" s="24566"/>
      <c r="AA109" s="24567"/>
      <c r="AB109" s="24568"/>
      <c r="AC109" s="24569"/>
      <c r="AD109" s="24570"/>
      <c r="AE109" s="24571"/>
      <c r="AF109" s="24572"/>
      <c r="AG109" s="24573"/>
      <c r="AH109" s="24574"/>
      <c r="AI109" s="24575"/>
      <c r="AJ109" s="24576"/>
      <c r="AK109" s="24577"/>
      <c r="AL109" s="24578"/>
      <c r="AM109" s="24579"/>
      <c r="AN109" s="24580"/>
      <c r="AO109" s="24581"/>
      <c r="AP109" s="24582"/>
      <c r="AQ109" s="24583"/>
      <c r="AR109" s="24584"/>
      <c r="AS109" s="24585"/>
      <c r="AT109" s="24586"/>
      <c r="AU109" s="24587"/>
      <c r="AV109" s="24588"/>
      <c r="AW109" s="24589"/>
      <c r="AX109" s="24590"/>
      <c r="AY109" s="24591"/>
      <c r="AZ109" s="24592"/>
      <c r="BA109" s="24593"/>
      <c r="BB109" s="24594"/>
      <c r="BC109" s="24595"/>
      <c r="BD109" s="24596"/>
      <c r="BE109" s="24597"/>
      <c r="BF109" s="24598"/>
      <c r="BG109" s="24599"/>
      <c r="BH109" s="24600"/>
      <c r="BI109" s="24601"/>
      <c r="BJ109" s="24602"/>
      <c r="BK109" s="24603"/>
      <c r="BL109" s="24604"/>
      <c r="BM109" s="24605"/>
      <c r="BN109" s="24606"/>
      <c r="BO109" s="24607"/>
      <c r="BP109" s="24608"/>
      <c r="BQ109" s="24609"/>
      <c r="BR109" s="24610"/>
      <c r="BS109" s="24611"/>
      <c r="BT109" s="23161"/>
      <c r="BU109" s="23339"/>
      <c r="BV109" s="23339" t="str">
        <f>IF(T109="","",T109)</f>
        <v>Добавить схему подключения</v>
      </c>
      <c r="BW109" s="23339"/>
      <c r="BX109" s="23339"/>
      <c r="BY109" s="22944">
        <v>0</v>
      </c>
    </row>
    <row s="61685" customFormat="1" customHeight="1" ht="0.75">
      <c r="A110" s="23531"/>
      <c r="B110" s="23531"/>
      <c r="C110" s="23531"/>
      <c r="D110" s="23531"/>
      <c r="E110" s="23341" t="s">
        <v>92</v>
      </c>
      <c r="F110" s="23341"/>
      <c r="G110" s="23329"/>
      <c r="H110" s="23531"/>
      <c r="I110" s="23531"/>
      <c r="J110" s="23531"/>
      <c r="K110" s="23531"/>
      <c r="L110" s="23532"/>
      <c r="M110" s="23533"/>
      <c r="N110" s="23533"/>
      <c r="O110" s="23161"/>
      <c r="P110" s="23534"/>
      <c r="Q110" s="23535"/>
      <c r="R110" s="23534"/>
      <c r="S110" s="23536"/>
      <c r="T110" s="23537" t="s">
        <v>171</v>
      </c>
      <c r="U110" s="23115"/>
      <c r="V110" s="23115"/>
      <c r="W110" s="23115"/>
      <c r="X110" s="23115"/>
      <c r="Y110" s="23115"/>
      <c r="Z110" s="23115"/>
      <c r="AA110" s="23115"/>
      <c r="AB110" s="23115"/>
      <c r="AC110" s="23115"/>
      <c r="AD110" s="23115"/>
      <c r="AE110" s="23115"/>
      <c r="AF110" s="23115"/>
      <c r="AG110" s="23115"/>
      <c r="AH110" s="23115"/>
      <c r="AI110" s="23115"/>
      <c r="AJ110" s="23115"/>
      <c r="AK110" s="23115"/>
      <c r="AL110" s="23115"/>
      <c r="AM110" s="23115"/>
      <c r="AN110" s="23115"/>
      <c r="AO110" s="23115"/>
      <c r="AP110" s="23115"/>
      <c r="AQ110" s="23115"/>
      <c r="AR110" s="23115"/>
      <c r="AS110" s="23115"/>
      <c r="AT110" s="23115"/>
      <c r="AU110" s="23115"/>
      <c r="AV110" s="23115"/>
      <c r="AW110" s="23115"/>
      <c r="AX110" s="23115"/>
      <c r="AY110" s="23115"/>
      <c r="AZ110" s="23115"/>
      <c r="BA110" s="23115"/>
      <c r="BB110" s="23115"/>
      <c r="BC110" s="23115"/>
      <c r="BD110" s="23115"/>
      <c r="BE110" s="23115"/>
      <c r="BF110" s="23115"/>
      <c r="BG110" s="23115"/>
      <c r="BH110" s="23115"/>
      <c r="BI110" s="23115"/>
      <c r="BJ110" s="23115"/>
      <c r="BK110" s="23115"/>
      <c r="BL110" s="23115"/>
      <c r="BM110" s="23115"/>
      <c r="BN110" s="23115"/>
      <c r="BO110" s="23115"/>
      <c r="BP110" s="23115"/>
      <c r="BQ110" s="23115"/>
      <c r="BR110" s="23115"/>
      <c r="BS110" s="23115"/>
      <c r="BT110" s="23161"/>
      <c r="BU110" s="23339"/>
      <c r="BV110" s="23339" t="str">
        <f>IF(T110="","",T110)</f>
        <v>Добавить источник для дифференциации</v>
      </c>
      <c r="BW110" s="23339"/>
      <c r="BX110" s="23339"/>
      <c r="BY110" s="23161">
        <v>0</v>
      </c>
    </row>
    <row s="61685" customFormat="1" customHeight="1" ht="0.75">
      <c r="A111" s="23531"/>
      <c r="B111" s="23531"/>
      <c r="C111" s="23531"/>
      <c r="D111" s="23531"/>
      <c r="E111" s="23341" t="s">
        <v>92</v>
      </c>
      <c r="F111" s="23329"/>
      <c r="G111" s="23531"/>
      <c r="H111" s="23531"/>
      <c r="I111" s="23531"/>
      <c r="J111" s="23531"/>
      <c r="K111" s="23531"/>
      <c r="L111" s="23532"/>
      <c r="M111" s="23539"/>
      <c r="N111" s="23539"/>
      <c r="O111" s="23161"/>
      <c r="P111" s="23534"/>
      <c r="Q111" s="23535"/>
      <c r="R111" s="23534"/>
      <c r="S111" s="23540"/>
      <c r="T111" s="23541" t="s">
        <v>172</v>
      </c>
      <c r="U111" s="23121"/>
      <c r="V111" s="23121"/>
      <c r="W111" s="23121"/>
      <c r="X111" s="23121"/>
      <c r="Y111" s="23121"/>
      <c r="Z111" s="23121"/>
      <c r="AA111" s="23121"/>
      <c r="AB111" s="23121"/>
      <c r="AC111" s="23121"/>
      <c r="AD111" s="23121"/>
      <c r="AE111" s="23121"/>
      <c r="AF111" s="23121"/>
      <c r="AG111" s="23121"/>
      <c r="AH111" s="23121"/>
      <c r="AI111" s="23121"/>
      <c r="AJ111" s="23121"/>
      <c r="AK111" s="23121"/>
      <c r="AL111" s="23121"/>
      <c r="AM111" s="23121"/>
      <c r="AN111" s="23121"/>
      <c r="AO111" s="23121"/>
      <c r="AP111" s="23121"/>
      <c r="AQ111" s="23121"/>
      <c r="AR111" s="23121"/>
      <c r="AS111" s="23121"/>
      <c r="AT111" s="23121"/>
      <c r="AU111" s="23121"/>
      <c r="AV111" s="23121"/>
      <c r="AW111" s="23121"/>
      <c r="AX111" s="23121"/>
      <c r="AY111" s="23121"/>
      <c r="AZ111" s="23121"/>
      <c r="BA111" s="23121"/>
      <c r="BB111" s="23121"/>
      <c r="BC111" s="23121"/>
      <c r="BD111" s="23121"/>
      <c r="BE111" s="23121"/>
      <c r="BF111" s="23121"/>
      <c r="BG111" s="23121"/>
      <c r="BH111" s="23121"/>
      <c r="BI111" s="23121"/>
      <c r="BJ111" s="23121"/>
      <c r="BK111" s="23121"/>
      <c r="BL111" s="23121"/>
      <c r="BM111" s="23121"/>
      <c r="BN111" s="23121"/>
      <c r="BO111" s="23121"/>
      <c r="BP111" s="23121"/>
      <c r="BQ111" s="23121"/>
      <c r="BR111" s="23121"/>
      <c r="BS111" s="23121"/>
      <c r="BT111" s="23161"/>
      <c r="BU111" s="23339"/>
      <c r="BV111" s="23339" t="str">
        <f>IF(T111="","",T111)</f>
        <v>Добавить централизованную систему для дифференциации</v>
      </c>
      <c r="BW111" s="23339"/>
      <c r="BX111" s="23339"/>
      <c r="BY111" s="23161">
        <v>0</v>
      </c>
    </row>
    <row s="61685" customFormat="1" customHeight="1" ht="0.75">
      <c r="A112" s="23531"/>
      <c r="B112" s="23531"/>
      <c r="C112" s="23531"/>
      <c r="D112" s="23531"/>
      <c r="E112" s="23329" t="s">
        <v>92</v>
      </c>
      <c r="F112" s="23531"/>
      <c r="G112" s="23531"/>
      <c r="H112" s="23531"/>
      <c r="I112" s="23531"/>
      <c r="J112" s="23531"/>
      <c r="K112" s="23531"/>
      <c r="L112" s="23532"/>
      <c r="M112" s="23539"/>
      <c r="N112" s="23539"/>
      <c r="O112" s="23161"/>
      <c r="P112" s="23534"/>
      <c r="Q112" s="23535"/>
      <c r="R112" s="23534"/>
      <c r="S112" s="23540"/>
      <c r="T112" s="23543" t="s">
        <v>173</v>
      </c>
      <c r="U112" s="23121"/>
      <c r="V112" s="23121"/>
      <c r="W112" s="23121"/>
      <c r="X112" s="23121"/>
      <c r="Y112" s="23121"/>
      <c r="Z112" s="23121"/>
      <c r="AA112" s="23121"/>
      <c r="AB112" s="23121"/>
      <c r="AC112" s="23121"/>
      <c r="AD112" s="23121"/>
      <c r="AE112" s="23121"/>
      <c r="AF112" s="23121"/>
      <c r="AG112" s="23121"/>
      <c r="AH112" s="23121"/>
      <c r="AI112" s="23121"/>
      <c r="AJ112" s="23121"/>
      <c r="AK112" s="23121"/>
      <c r="AL112" s="23121"/>
      <c r="AM112" s="23121"/>
      <c r="AN112" s="23121"/>
      <c r="AO112" s="23121"/>
      <c r="AP112" s="23121"/>
      <c r="AQ112" s="23121"/>
      <c r="AR112" s="23121"/>
      <c r="AS112" s="23121"/>
      <c r="AT112" s="23121"/>
      <c r="AU112" s="23121"/>
      <c r="AV112" s="23121"/>
      <c r="AW112" s="23121"/>
      <c r="AX112" s="23121"/>
      <c r="AY112" s="23121"/>
      <c r="AZ112" s="23121"/>
      <c r="BA112" s="23121"/>
      <c r="BB112" s="23121"/>
      <c r="BC112" s="23121"/>
      <c r="BD112" s="23121"/>
      <c r="BE112" s="23121"/>
      <c r="BF112" s="23121"/>
      <c r="BG112" s="23121"/>
      <c r="BH112" s="23121"/>
      <c r="BI112" s="23121"/>
      <c r="BJ112" s="23121"/>
      <c r="BK112" s="23121"/>
      <c r="BL112" s="23121"/>
      <c r="BM112" s="23121"/>
      <c r="BN112" s="23121"/>
      <c r="BO112" s="23121"/>
      <c r="BP112" s="23121"/>
      <c r="BQ112" s="23121"/>
      <c r="BR112" s="23121"/>
      <c r="BS112" s="23121"/>
      <c r="BT112" s="23161"/>
      <c r="BU112" s="23339"/>
      <c r="BV112" s="23339" t="str">
        <f>IF(T112="","",T112)</f>
        <v>Добавить территорию для дифференциации</v>
      </c>
      <c r="BW112" s="23339"/>
      <c r="BX112" s="23339"/>
      <c r="BY112" s="23161">
        <v>0</v>
      </c>
    </row>
    <row s="63225" customFormat="1" customHeight="1" ht="21">
      <c r="A113" s="23328" t="s">
        <v>216</v>
      </c>
      <c r="B113" s="23328"/>
      <c r="C113" s="23328"/>
      <c r="D113" s="23328"/>
      <c r="E113" s="23329" t="s">
        <v>93</v>
      </c>
      <c r="F113" s="23328"/>
      <c r="G113" s="23328"/>
      <c r="H113" s="23328"/>
      <c r="I113" s="23328"/>
      <c r="J113" s="23328"/>
      <c r="K113" s="23328"/>
      <c r="L113" s="23330"/>
      <c r="M113" s="23331"/>
      <c r="N113" s="23331"/>
      <c r="O113" s="23331"/>
      <c r="P113" s="23332"/>
      <c r="Q113" s="23333"/>
      <c r="R113" s="23334"/>
      <c r="S113" s="23335" t="str">
        <f>INDEX(PT_DIFFERENTIATION_NUM_NTAR,MATCH(A113,PT_DIFFERENTIATION_NTAR_ID,0))</f>
        <v>6</v>
      </c>
      <c r="T113" s="23336" t="s">
        <v>131</v>
      </c>
      <c r="U113" s="23337"/>
      <c r="V113" s="22958"/>
      <c r="W113" s="22959"/>
      <c r="X113" s="22959"/>
      <c r="Y113" s="22959"/>
      <c r="Z113" s="22959"/>
      <c r="AA113" s="22959"/>
      <c r="AB113" s="22959"/>
      <c r="AC113" s="22960"/>
      <c r="AD113" s="22958" t="str">
        <f>INDEX(PT_DIFFERENTIATION_NTAR,MATCH(A113,PT_DIFFERENTIATION_NTAR_ID,0))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AE113" s="22959"/>
      <c r="AF113" s="22959"/>
      <c r="AG113" s="22959"/>
      <c r="AH113" s="22959"/>
      <c r="AI113" s="22959"/>
      <c r="AJ113" s="22959"/>
      <c r="AK113" s="22959"/>
      <c r="AL113" s="22958"/>
      <c r="AM113" s="22959"/>
      <c r="AN113" s="22959"/>
      <c r="AO113" s="22959"/>
      <c r="AP113" s="22959"/>
      <c r="AQ113" s="22959"/>
      <c r="AR113" s="22959"/>
      <c r="AS113" s="22960"/>
      <c r="AT113" s="22958"/>
      <c r="AU113" s="22959"/>
      <c r="AV113" s="22959"/>
      <c r="AW113" s="22959"/>
      <c r="AX113" s="22959"/>
      <c r="AY113" s="22959"/>
      <c r="AZ113" s="22959"/>
      <c r="BA113" s="22960"/>
      <c r="BB113" s="22958"/>
      <c r="BC113" s="22959"/>
      <c r="BD113" s="22959"/>
      <c r="BE113" s="22959"/>
      <c r="BF113" s="22959"/>
      <c r="BG113" s="22959"/>
      <c r="BH113" s="22959"/>
      <c r="BI113" s="22960"/>
      <c r="BJ113" s="22958"/>
      <c r="BK113" s="22959"/>
      <c r="BL113" s="22959"/>
      <c r="BM113" s="22959"/>
      <c r="BN113" s="22959"/>
      <c r="BO113" s="22959"/>
      <c r="BP113" s="22959"/>
      <c r="BQ113" s="22960"/>
      <c r="BR113" s="22960"/>
      <c r="BS113" s="23338" t="s">
        <v>471</v>
      </c>
      <c r="BT113" s="23161"/>
      <c r="BU113" s="23339"/>
      <c r="BV113" s="23339" t="str">
        <f>IF(T113="","",T113)</f>
        <v>Наименование тарифа</v>
      </c>
      <c r="BW113" s="23339"/>
      <c r="BX113" s="23339"/>
      <c r="BY113" s="22944">
        <v>0</v>
      </c>
    </row>
    <row s="63225" customFormat="1" customHeight="1" ht="21">
      <c r="A114" s="23328"/>
      <c r="B114" s="23328" t="s">
        <v>217</v>
      </c>
      <c r="C114" s="23328"/>
      <c r="D114" s="23328"/>
      <c r="E114" s="23341" t="s">
        <v>119</v>
      </c>
      <c r="F114" s="23329">
        <v>1</v>
      </c>
      <c r="G114" s="23328"/>
      <c r="H114" s="23328"/>
      <c r="I114" s="23328"/>
      <c r="J114" s="23328"/>
      <c r="K114" s="23328"/>
      <c r="L114" s="23330"/>
      <c r="M114" s="23331"/>
      <c r="N114" s="23331"/>
      <c r="O114" s="23331"/>
      <c r="P114" s="23342"/>
      <c r="Q114" s="23343"/>
      <c r="R114" s="23344"/>
      <c r="S114" s="23335" t="str">
        <f>INDEX(PT_DIFFERENTIATION_NUM_TER,MATCH(B114,PT_DIFFERENTIATION_TER_ID,0))</f>
        <v>6.1</v>
      </c>
      <c r="T114" s="23345" t="s">
        <v>472</v>
      </c>
      <c r="U114" s="23337"/>
      <c r="V114" s="22958"/>
      <c r="W114" s="22959"/>
      <c r="X114" s="22959"/>
      <c r="Y114" s="22959"/>
      <c r="Z114" s="22959"/>
      <c r="AA114" s="22959"/>
      <c r="AB114" s="22959"/>
      <c r="AC114" s="22960"/>
      <c r="AD114" s="22958" t="str">
        <f>INDEX(PT_DIFFERENTIATION_TER,MATCH(B114,PT_DIFFERENTIATION_TER_ID,0))</f>
        <v>Территория 3</v>
      </c>
      <c r="AE114" s="22959"/>
      <c r="AF114" s="22959"/>
      <c r="AG114" s="22959"/>
      <c r="AH114" s="22959"/>
      <c r="AI114" s="22959"/>
      <c r="AJ114" s="22959"/>
      <c r="AK114" s="22959"/>
      <c r="AL114" s="22958"/>
      <c r="AM114" s="22959"/>
      <c r="AN114" s="22959"/>
      <c r="AO114" s="22959"/>
      <c r="AP114" s="22959"/>
      <c r="AQ114" s="22959"/>
      <c r="AR114" s="22959"/>
      <c r="AS114" s="22960"/>
      <c r="AT114" s="22958"/>
      <c r="AU114" s="22959"/>
      <c r="AV114" s="22959"/>
      <c r="AW114" s="22959"/>
      <c r="AX114" s="22959"/>
      <c r="AY114" s="22959"/>
      <c r="AZ114" s="22959"/>
      <c r="BA114" s="22960"/>
      <c r="BB114" s="22958"/>
      <c r="BC114" s="22959"/>
      <c r="BD114" s="22959"/>
      <c r="BE114" s="22959"/>
      <c r="BF114" s="22959"/>
      <c r="BG114" s="22959"/>
      <c r="BH114" s="22959"/>
      <c r="BI114" s="22960"/>
      <c r="BJ114" s="22958"/>
      <c r="BK114" s="22959"/>
      <c r="BL114" s="22959"/>
      <c r="BM114" s="22959"/>
      <c r="BN114" s="22959"/>
      <c r="BO114" s="22959"/>
      <c r="BP114" s="22959"/>
      <c r="BQ114" s="22960"/>
      <c r="BR114" s="22960"/>
      <c r="BS114" s="23338" t="s">
        <v>473</v>
      </c>
      <c r="BT114" s="23161"/>
      <c r="BU114" s="23339"/>
      <c r="BV114" s="23339" t="str">
        <f>IF(T114="","",T114)</f>
        <v>Территория действия тарифа</v>
      </c>
      <c r="BW114" s="23339"/>
      <c r="BX114" s="23339"/>
      <c r="BY114" s="22944">
        <v>0</v>
      </c>
    </row>
    <row s="63225" customFormat="1" customHeight="1" ht="23.25">
      <c r="A115" s="23328"/>
      <c r="B115" s="23328"/>
      <c r="C115" s="23328" t="s">
        <v>218</v>
      </c>
      <c r="D115" s="23328"/>
      <c r="E115" s="23341" t="s">
        <v>119</v>
      </c>
      <c r="F115" s="23341"/>
      <c r="G115" s="23329">
        <v>1</v>
      </c>
      <c r="H115" s="23328"/>
      <c r="I115" s="23328"/>
      <c r="J115" s="23328"/>
      <c r="K115" s="23328"/>
      <c r="L115" s="23330"/>
      <c r="M115" s="23331"/>
      <c r="N115" s="23331"/>
      <c r="O115" s="23331"/>
      <c r="P115" s="23347"/>
      <c r="Q115" s="23343"/>
      <c r="R115" s="23344"/>
      <c r="S115" s="23335" t="str">
        <f>INDEX(PT_DIFFERENTIATION_NUM_CS,MATCH(C115,PT_DIFFERENTIATION_CS_ID,0))</f>
        <v>6.1.1</v>
      </c>
      <c r="T115" s="23348" t="s">
        <v>474</v>
      </c>
      <c r="U115" s="23337"/>
      <c r="V115" s="22958"/>
      <c r="W115" s="22959"/>
      <c r="X115" s="22959"/>
      <c r="Y115" s="22959"/>
      <c r="Z115" s="22959"/>
      <c r="AA115" s="22959"/>
      <c r="AB115" s="22959"/>
      <c r="AC115" s="22960"/>
      <c r="AD115" s="22958" t="str">
        <f>INDEX(PT_DIFFERENTIATION_CS,MATCH(C115,PT_DIFFERENTIATION_CS_ID,0))</f>
        <v>без дифференциации</v>
      </c>
      <c r="AE115" s="22959"/>
      <c r="AF115" s="22959"/>
      <c r="AG115" s="22959"/>
      <c r="AH115" s="22959"/>
      <c r="AI115" s="22959"/>
      <c r="AJ115" s="22959"/>
      <c r="AK115" s="22959"/>
      <c r="AL115" s="22958"/>
      <c r="AM115" s="22959"/>
      <c r="AN115" s="22959"/>
      <c r="AO115" s="22959"/>
      <c r="AP115" s="22959"/>
      <c r="AQ115" s="22959"/>
      <c r="AR115" s="22959"/>
      <c r="AS115" s="22960"/>
      <c r="AT115" s="22958"/>
      <c r="AU115" s="22959"/>
      <c r="AV115" s="22959"/>
      <c r="AW115" s="22959"/>
      <c r="AX115" s="22959"/>
      <c r="AY115" s="22959"/>
      <c r="AZ115" s="22959"/>
      <c r="BA115" s="22960"/>
      <c r="BB115" s="22958"/>
      <c r="BC115" s="22959"/>
      <c r="BD115" s="22959"/>
      <c r="BE115" s="22959"/>
      <c r="BF115" s="22959"/>
      <c r="BG115" s="22959"/>
      <c r="BH115" s="22959"/>
      <c r="BI115" s="22960"/>
      <c r="BJ115" s="22958"/>
      <c r="BK115" s="22959"/>
      <c r="BL115" s="22959"/>
      <c r="BM115" s="22959"/>
      <c r="BN115" s="22959"/>
      <c r="BO115" s="22959"/>
      <c r="BP115" s="22959"/>
      <c r="BQ115" s="22960"/>
      <c r="BR115" s="22960"/>
      <c r="BS115" s="23338" t="s">
        <v>475</v>
      </c>
      <c r="BT115" s="23161"/>
      <c r="BU115" s="23339"/>
      <c r="BV115" s="23339" t="str">
        <f>IF(T115="","",T115)</f>
        <v>Наименование системы теплоснабжения </v>
      </c>
      <c r="BW115" s="23339"/>
      <c r="BX115" s="23339"/>
      <c r="BY115" s="22944">
        <v>0</v>
      </c>
    </row>
    <row s="63225" customFormat="1" customHeight="1" ht="21">
      <c r="A116" s="23328"/>
      <c r="B116" s="23328"/>
      <c r="C116" s="23328"/>
      <c r="D116" s="23328" t="s">
        <v>219</v>
      </c>
      <c r="E116" s="23341" t="s">
        <v>119</v>
      </c>
      <c r="F116" s="23341"/>
      <c r="G116" s="23341"/>
      <c r="H116" s="23329">
        <v>1</v>
      </c>
      <c r="I116" s="23328"/>
      <c r="J116" s="23328"/>
      <c r="K116" s="23328"/>
      <c r="L116" s="23330"/>
      <c r="M116" s="23331"/>
      <c r="N116" s="23331"/>
      <c r="O116" s="23331"/>
      <c r="P116" s="23347"/>
      <c r="Q116" s="23343"/>
      <c r="R116" s="23344"/>
      <c r="S116" s="23335" t="str">
        <f>INDEX(PT_DIFFERENTIATION_NUM_IST_TE,MATCH(D116,PT_DIFFERENTIATION_IST_TE_ID,0))</f>
        <v>6.1.1.1</v>
      </c>
      <c r="T116" s="23350" t="s">
        <v>476</v>
      </c>
      <c r="U116" s="23337"/>
      <c r="V116" s="22958"/>
      <c r="W116" s="22959"/>
      <c r="X116" s="22959"/>
      <c r="Y116" s="22959"/>
      <c r="Z116" s="22959"/>
      <c r="AA116" s="22959"/>
      <c r="AB116" s="22959"/>
      <c r="AC116" s="22960"/>
      <c r="AD116" s="22958" t="str">
        <f>INDEX(PT_DIFFERENTIATION_IST_TE,MATCH(D116,PT_DIFFERENTIATION_IST_TE_ID,0))</f>
        <v>без дифференциации</v>
      </c>
      <c r="AE116" s="22959"/>
      <c r="AF116" s="22959"/>
      <c r="AG116" s="22959"/>
      <c r="AH116" s="22959"/>
      <c r="AI116" s="22959"/>
      <c r="AJ116" s="22959"/>
      <c r="AK116" s="22959"/>
      <c r="AL116" s="22958"/>
      <c r="AM116" s="22959"/>
      <c r="AN116" s="22959"/>
      <c r="AO116" s="22959"/>
      <c r="AP116" s="22959"/>
      <c r="AQ116" s="22959"/>
      <c r="AR116" s="22959"/>
      <c r="AS116" s="22960"/>
      <c r="AT116" s="22958"/>
      <c r="AU116" s="22959"/>
      <c r="AV116" s="22959"/>
      <c r="AW116" s="22959"/>
      <c r="AX116" s="22959"/>
      <c r="AY116" s="22959"/>
      <c r="AZ116" s="22959"/>
      <c r="BA116" s="22960"/>
      <c r="BB116" s="22958"/>
      <c r="BC116" s="22959"/>
      <c r="BD116" s="22959"/>
      <c r="BE116" s="22959"/>
      <c r="BF116" s="22959"/>
      <c r="BG116" s="22959"/>
      <c r="BH116" s="22959"/>
      <c r="BI116" s="22960"/>
      <c r="BJ116" s="22958"/>
      <c r="BK116" s="22959"/>
      <c r="BL116" s="22959"/>
      <c r="BM116" s="22959"/>
      <c r="BN116" s="22959"/>
      <c r="BO116" s="22959"/>
      <c r="BP116" s="22959"/>
      <c r="BQ116" s="22960"/>
      <c r="BR116" s="22960"/>
      <c r="BS116" s="23338" t="s">
        <v>477</v>
      </c>
      <c r="BT116" s="23161"/>
      <c r="BU116" s="23339"/>
      <c r="BV116" s="23339" t="str">
        <f>IF(T116="","",T116)</f>
        <v>Источник тепловой энергии  </v>
      </c>
      <c r="BW116" s="23339"/>
      <c r="BX116" s="23339"/>
      <c r="BY116" s="22944">
        <v>0</v>
      </c>
    </row>
    <row s="63225" customFormat="1" customHeight="1" ht="47.25">
      <c r="A117" s="23328"/>
      <c r="B117" s="23328"/>
      <c r="C117" s="23328"/>
      <c r="D117" s="23328"/>
      <c r="E117" s="23341" t="s">
        <v>119</v>
      </c>
      <c r="F117" s="23341"/>
      <c r="G117" s="23341"/>
      <c r="H117" s="23341"/>
      <c r="I117" s="23352" t="str">
        <f>S116&amp;".1"</f>
        <v>6.1.1.1.1</v>
      </c>
      <c r="J117" s="23328"/>
      <c r="K117" s="23328"/>
      <c r="L117" s="23330" t="s">
        <v>478</v>
      </c>
      <c r="M117" s="23133"/>
      <c r="N117" s="23353"/>
      <c r="O117" s="23353"/>
      <c r="P117" s="23354">
        <v>1</v>
      </c>
      <c r="Q117" s="23354"/>
      <c r="R117" s="23355"/>
      <c r="S117" s="23335" t="str">
        <f>$I117</f>
        <v>6.1.1.1.1</v>
      </c>
      <c r="T117" s="23356" t="s">
        <v>479</v>
      </c>
      <c r="U117" s="23337"/>
      <c r="V117" s="22979"/>
      <c r="W117" s="22980"/>
      <c r="X117" s="22980"/>
      <c r="Y117" s="22980"/>
      <c r="Z117" s="22980"/>
      <c r="AA117" s="22980"/>
      <c r="AB117" s="22980"/>
      <c r="AC117" s="22981"/>
      <c r="AD117" s="22979" t="s">
        <v>521</v>
      </c>
      <c r="AE117" s="22980"/>
      <c r="AF117" s="22980"/>
      <c r="AG117" s="22980"/>
      <c r="AH117" s="22980"/>
      <c r="AI117" s="22980"/>
      <c r="AJ117" s="22980"/>
      <c r="AK117" s="22980"/>
      <c r="AL117" s="22979"/>
      <c r="AM117" s="22980"/>
      <c r="AN117" s="22980"/>
      <c r="AO117" s="22980"/>
      <c r="AP117" s="22980"/>
      <c r="AQ117" s="22980"/>
      <c r="AR117" s="22980"/>
      <c r="AS117" s="22981"/>
      <c r="AT117" s="22979"/>
      <c r="AU117" s="22980"/>
      <c r="AV117" s="22980"/>
      <c r="AW117" s="22980"/>
      <c r="AX117" s="22980"/>
      <c r="AY117" s="22980"/>
      <c r="AZ117" s="22980"/>
      <c r="BA117" s="22981"/>
      <c r="BB117" s="22979"/>
      <c r="BC117" s="22980"/>
      <c r="BD117" s="22980"/>
      <c r="BE117" s="22980"/>
      <c r="BF117" s="22980"/>
      <c r="BG117" s="22980"/>
      <c r="BH117" s="22980"/>
      <c r="BI117" s="22981"/>
      <c r="BJ117" s="22979"/>
      <c r="BK117" s="22980"/>
      <c r="BL117" s="22980"/>
      <c r="BM117" s="22980"/>
      <c r="BN117" s="22980"/>
      <c r="BO117" s="22980"/>
      <c r="BP117" s="22980"/>
      <c r="BQ117" s="22981"/>
      <c r="BR117" s="22981"/>
      <c r="BS117" s="23338" t="s">
        <v>480</v>
      </c>
      <c r="BT117" s="23161"/>
      <c r="BU117" s="23339"/>
      <c r="BV117" s="23339" t="str">
        <f>IF(T117="","",T117)</f>
        <v>Схема подключения теплопотребляющей установки к коллектору источника тепловой энергии</v>
      </c>
      <c r="BW117" s="23339"/>
      <c r="BX117" s="23339"/>
      <c r="BY117" s="22944">
        <v>0</v>
      </c>
    </row>
    <row s="63225" customFormat="1" customHeight="1" ht="21">
      <c r="A118" s="23328"/>
      <c r="B118" s="23328"/>
      <c r="C118" s="23328"/>
      <c r="D118" s="23328"/>
      <c r="E118" s="23341" t="s">
        <v>119</v>
      </c>
      <c r="F118" s="23341"/>
      <c r="G118" s="23341"/>
      <c r="H118" s="23341"/>
      <c r="I118" s="23358"/>
      <c r="J118" s="23352" t="str">
        <f>I117&amp;".1"</f>
        <v>6.1.1.1.1.1</v>
      </c>
      <c r="K118" s="23328"/>
      <c r="L118" s="23330" t="s">
        <v>481</v>
      </c>
      <c r="M118" s="23133"/>
      <c r="N118" s="23133"/>
      <c r="O118" s="23353"/>
      <c r="P118" s="23354"/>
      <c r="Q118" s="23354">
        <v>1</v>
      </c>
      <c r="R118" s="23359"/>
      <c r="S118" s="23335" t="str">
        <f>$J118</f>
        <v>6.1.1.1.1.1</v>
      </c>
      <c r="T118" s="23360" t="s">
        <v>482</v>
      </c>
      <c r="U118" s="23337"/>
      <c r="V118" s="22979"/>
      <c r="W118" s="22980"/>
      <c r="X118" s="22980"/>
      <c r="Y118" s="22980"/>
      <c r="Z118" s="22980"/>
      <c r="AA118" s="22980"/>
      <c r="AB118" s="22980"/>
      <c r="AC118" s="22981"/>
      <c r="AD118" s="22979" t="s">
        <v>521</v>
      </c>
      <c r="AE118" s="22980"/>
      <c r="AF118" s="22980"/>
      <c r="AG118" s="22980"/>
      <c r="AH118" s="22980"/>
      <c r="AI118" s="22980"/>
      <c r="AJ118" s="22980"/>
      <c r="AK118" s="22980"/>
      <c r="AL118" s="22979"/>
      <c r="AM118" s="22980"/>
      <c r="AN118" s="22980"/>
      <c r="AO118" s="22980"/>
      <c r="AP118" s="22980"/>
      <c r="AQ118" s="22980"/>
      <c r="AR118" s="22980"/>
      <c r="AS118" s="22981"/>
      <c r="AT118" s="22979"/>
      <c r="AU118" s="22980"/>
      <c r="AV118" s="22980"/>
      <c r="AW118" s="22980"/>
      <c r="AX118" s="22980"/>
      <c r="AY118" s="22980"/>
      <c r="AZ118" s="22980"/>
      <c r="BA118" s="22981"/>
      <c r="BB118" s="22979"/>
      <c r="BC118" s="22980"/>
      <c r="BD118" s="22980"/>
      <c r="BE118" s="22980"/>
      <c r="BF118" s="22980"/>
      <c r="BG118" s="22980"/>
      <c r="BH118" s="22980"/>
      <c r="BI118" s="22981"/>
      <c r="BJ118" s="22979"/>
      <c r="BK118" s="22980"/>
      <c r="BL118" s="22980"/>
      <c r="BM118" s="22980"/>
      <c r="BN118" s="22980"/>
      <c r="BO118" s="22980"/>
      <c r="BP118" s="22980"/>
      <c r="BQ118" s="22981"/>
      <c r="BR118" s="22981"/>
      <c r="BS118" s="23338" t="s">
        <v>483</v>
      </c>
      <c r="BT118" s="23161"/>
      <c r="BU118" s="23339"/>
      <c r="BV118" s="23339" t="str">
        <f>IF(T118="","",T118)</f>
        <v>Группа потребителей</v>
      </c>
      <c r="BW118" s="23339"/>
      <c r="BX118" s="23339"/>
      <c r="BY118" s="22944">
        <v>0</v>
      </c>
    </row>
    <row s="63225" customFormat="1" customHeight="1" ht="21">
      <c r="A119" s="23328"/>
      <c r="B119" s="23328"/>
      <c r="C119" s="23328"/>
      <c r="D119" s="23328"/>
      <c r="E119" s="23341" t="s">
        <v>119</v>
      </c>
      <c r="F119" s="23341"/>
      <c r="G119" s="23341"/>
      <c r="H119" s="23341"/>
      <c r="I119" s="23358"/>
      <c r="J119" s="23358"/>
      <c r="K119" s="23352" t="str">
        <f>J118&amp;".1"</f>
        <v>6.1.1.1.1.1.1</v>
      </c>
      <c r="L119" s="23330" t="s">
        <v>484</v>
      </c>
      <c r="M119" s="23133"/>
      <c r="N119" s="23133"/>
      <c r="O119" s="23133"/>
      <c r="P119" s="23354"/>
      <c r="Q119" s="23354"/>
      <c r="R119" s="23359">
        <v>1</v>
      </c>
      <c r="S119" s="23335" t="str">
        <f>$K119</f>
        <v>6.1.1.1.1.1.1</v>
      </c>
      <c r="T119" s="23362" t="s">
        <v>522</v>
      </c>
      <c r="U119" s="23337"/>
      <c r="V119" s="22991"/>
      <c r="W119" s="22992"/>
      <c r="X119" s="22991"/>
      <c r="Y119" s="22993"/>
      <c r="Z119" s="22994"/>
      <c r="AA119" s="22349" t="s">
        <v>67</v>
      </c>
      <c r="AB119" s="22994"/>
      <c r="AC119" s="22349" t="s">
        <v>67</v>
      </c>
      <c r="AD119" s="22991">
        <v>2436</v>
      </c>
      <c r="AE119" s="22992"/>
      <c r="AF119" s="22991">
        <v>1415.15</v>
      </c>
      <c r="AG119" s="22993">
        <v>286.512</v>
      </c>
      <c r="AH119" s="22994">
        <v>45292</v>
      </c>
      <c r="AI119" s="22349" t="s">
        <v>67</v>
      </c>
      <c r="AJ119" s="22994">
        <v>45657</v>
      </c>
      <c r="AK119" s="22349" t="s">
        <v>67</v>
      </c>
      <c r="AL119" s="22991">
        <v>2575.75</v>
      </c>
      <c r="AM119" s="22992"/>
      <c r="AN119" s="22991">
        <v>1705.28</v>
      </c>
      <c r="AO119" s="22993">
        <v>213.78136</v>
      </c>
      <c r="AP119" s="22994">
        <v>45658</v>
      </c>
      <c r="AQ119" s="22349" t="s">
        <v>67</v>
      </c>
      <c r="AR119" s="22994">
        <v>46022</v>
      </c>
      <c r="AS119" s="22349" t="s">
        <v>67</v>
      </c>
      <c r="AT119" s="22991">
        <v>3166.56</v>
      </c>
      <c r="AU119" s="22992"/>
      <c r="AV119" s="22991">
        <v>1908.8</v>
      </c>
      <c r="AW119" s="22993">
        <v>287.9967</v>
      </c>
      <c r="AX119" s="22994">
        <v>46023</v>
      </c>
      <c r="AY119" s="22349" t="s">
        <v>67</v>
      </c>
      <c r="AZ119" s="22994">
        <v>46387</v>
      </c>
      <c r="BA119" s="22349" t="s">
        <v>67</v>
      </c>
      <c r="BB119" s="22991">
        <v>2674.71</v>
      </c>
      <c r="BC119" s="22992"/>
      <c r="BD119" s="22991">
        <v>1600.11</v>
      </c>
      <c r="BE119" s="22993">
        <v>301.598</v>
      </c>
      <c r="BF119" s="22994">
        <v>46388</v>
      </c>
      <c r="BG119" s="22349" t="s">
        <v>67</v>
      </c>
      <c r="BH119" s="22994">
        <v>46752</v>
      </c>
      <c r="BI119" s="22349" t="s">
        <v>67</v>
      </c>
      <c r="BJ119" s="22991">
        <v>2763.6</v>
      </c>
      <c r="BK119" s="22992"/>
      <c r="BL119" s="22991">
        <v>1667.04</v>
      </c>
      <c r="BM119" s="22993">
        <v>307.761</v>
      </c>
      <c r="BN119" s="22994">
        <v>46753</v>
      </c>
      <c r="BO119" s="22349" t="s">
        <v>67</v>
      </c>
      <c r="BP119" s="22994">
        <v>47118</v>
      </c>
      <c r="BQ119" s="22349" t="s">
        <v>67</v>
      </c>
      <c r="BR119" s="22992"/>
      <c r="BS119" s="23363" t="s">
        <v>485</v>
      </c>
      <c r="BT119" s="23161">
        <f>STRCHECKDATE(V120:BR120)</f>
      </c>
      <c r="BU119" s="23339"/>
      <c r="BV119" s="23339" t="str">
        <f>IF(T119="","",T119)</f>
        <v>вода</v>
      </c>
      <c r="BW119" s="23339"/>
      <c r="BX119" s="23339"/>
      <c r="BY119" s="22944">
        <v>0</v>
      </c>
    </row>
    <row s="63225" customFormat="1" customHeight="1" ht="0.75">
      <c r="A120" s="23328"/>
      <c r="B120" s="23328"/>
      <c r="C120" s="23328"/>
      <c r="D120" s="23328"/>
      <c r="E120" s="23341" t="s">
        <v>119</v>
      </c>
      <c r="F120" s="23341"/>
      <c r="G120" s="23341"/>
      <c r="H120" s="23341"/>
      <c r="I120" s="23358"/>
      <c r="J120" s="23358"/>
      <c r="K120" s="23352"/>
      <c r="L120" s="23330"/>
      <c r="M120" s="23133"/>
      <c r="N120" s="23133"/>
      <c r="O120" s="23133"/>
      <c r="P120" s="23354"/>
      <c r="Q120" s="23354"/>
      <c r="R120" s="23359"/>
      <c r="S120" s="23365"/>
      <c r="T120" s="23337"/>
      <c r="U120" s="23337"/>
      <c r="V120" s="22992"/>
      <c r="W120" s="22992"/>
      <c r="X120" s="22992"/>
      <c r="Y120" s="22999" t="str">
        <f>Z119&amp;"-"&amp;AB119</f>
        <v>-</v>
      </c>
      <c r="Z120" s="23000"/>
      <c r="AA120" s="22349"/>
      <c r="AB120" s="23000"/>
      <c r="AC120" s="22349"/>
      <c r="AD120" s="22992"/>
      <c r="AE120" s="22992"/>
      <c r="AF120" s="22992"/>
      <c r="AG120" s="22999" t="str">
        <f>AH119&amp;"-"&amp;AJ119</f>
        <v>45292-45657</v>
      </c>
      <c r="AH120" s="23000"/>
      <c r="AI120" s="22349"/>
      <c r="AJ120" s="23000"/>
      <c r="AK120" s="22349"/>
      <c r="AL120" s="22992"/>
      <c r="AM120" s="22992"/>
      <c r="AN120" s="22992"/>
      <c r="AO120" s="22999" t="str">
        <f>AP119&amp;"-"&amp;AR119</f>
        <v>45658-46022</v>
      </c>
      <c r="AP120" s="23000"/>
      <c r="AQ120" s="22349"/>
      <c r="AR120" s="23000"/>
      <c r="AS120" s="22349"/>
      <c r="AT120" s="22992"/>
      <c r="AU120" s="22992"/>
      <c r="AV120" s="22992"/>
      <c r="AW120" s="22999" t="str">
        <f>AX119&amp;"-"&amp;AZ119</f>
        <v>46023-46387</v>
      </c>
      <c r="AX120" s="23000"/>
      <c r="AY120" s="22349"/>
      <c r="AZ120" s="23000"/>
      <c r="BA120" s="22349"/>
      <c r="BB120" s="22992"/>
      <c r="BC120" s="22992"/>
      <c r="BD120" s="22992"/>
      <c r="BE120" s="22999" t="str">
        <f>BF119&amp;"-"&amp;BH119</f>
        <v>46388-46752</v>
      </c>
      <c r="BF120" s="23000"/>
      <c r="BG120" s="22349"/>
      <c r="BH120" s="23000"/>
      <c r="BI120" s="22349"/>
      <c r="BJ120" s="22992"/>
      <c r="BK120" s="22992"/>
      <c r="BL120" s="22992"/>
      <c r="BM120" s="22999" t="str">
        <f>BN119&amp;"-"&amp;BP119</f>
        <v>46753-47118</v>
      </c>
      <c r="BN120" s="23000"/>
      <c r="BO120" s="22349"/>
      <c r="BP120" s="23000"/>
      <c r="BQ120" s="22349"/>
      <c r="BR120" s="22992"/>
      <c r="BS120" s="23366"/>
      <c r="BT120" s="23161"/>
      <c r="BU120" s="23339"/>
      <c r="BV120" s="23339" t="str">
        <f>IF(T120="","",T120)</f>
        <v/>
      </c>
      <c r="BW120" s="23339"/>
      <c r="BX120" s="23339"/>
      <c r="BY120" s="22944">
        <v>0</v>
      </c>
    </row>
    <row s="63225" customFormat="1" customHeight="1" ht="15">
      <c r="A121" s="23328"/>
      <c r="B121" s="23328"/>
      <c r="C121" s="23328"/>
      <c r="D121" s="23328"/>
      <c r="E121" s="23341" t="s">
        <v>119</v>
      </c>
      <c r="F121" s="23341"/>
      <c r="G121" s="23341"/>
      <c r="H121" s="23341"/>
      <c r="I121" s="23358"/>
      <c r="J121" s="23352"/>
      <c r="K121" s="23328"/>
      <c r="L121" s="23330"/>
      <c r="M121" s="23133"/>
      <c r="N121" s="23133"/>
      <c r="O121" s="23353"/>
      <c r="P121" s="23354"/>
      <c r="Q121" s="23354"/>
      <c r="R121" s="23355"/>
      <c r="S121" s="24624"/>
      <c r="T121" s="24625" t="s">
        <v>486</v>
      </c>
      <c r="U121" s="24626"/>
      <c r="V121" s="24627"/>
      <c r="W121" s="24628"/>
      <c r="X121" s="24629"/>
      <c r="Y121" s="24630"/>
      <c r="Z121" s="24631"/>
      <c r="AA121" s="24632"/>
      <c r="AB121" s="24633"/>
      <c r="AC121" s="24634"/>
      <c r="AD121" s="24635"/>
      <c r="AE121" s="24636"/>
      <c r="AF121" s="24637"/>
      <c r="AG121" s="24638"/>
      <c r="AH121" s="24639"/>
      <c r="AI121" s="24640"/>
      <c r="AJ121" s="24641"/>
      <c r="AK121" s="24642"/>
      <c r="AL121" s="24643"/>
      <c r="AM121" s="24644"/>
      <c r="AN121" s="24645"/>
      <c r="AO121" s="24646"/>
      <c r="AP121" s="24647"/>
      <c r="AQ121" s="24648"/>
      <c r="AR121" s="24649"/>
      <c r="AS121" s="24650"/>
      <c r="AT121" s="24651"/>
      <c r="AU121" s="24652"/>
      <c r="AV121" s="24653"/>
      <c r="AW121" s="24654"/>
      <c r="AX121" s="24655"/>
      <c r="AY121" s="24656"/>
      <c r="AZ121" s="24657"/>
      <c r="BA121" s="24658"/>
      <c r="BB121" s="24659"/>
      <c r="BC121" s="24660"/>
      <c r="BD121" s="24661"/>
      <c r="BE121" s="24662"/>
      <c r="BF121" s="24663"/>
      <c r="BG121" s="24664"/>
      <c r="BH121" s="24665"/>
      <c r="BI121" s="24666"/>
      <c r="BJ121" s="24667"/>
      <c r="BK121" s="24668"/>
      <c r="BL121" s="24669"/>
      <c r="BM121" s="24670"/>
      <c r="BN121" s="24671"/>
      <c r="BO121" s="24672"/>
      <c r="BP121" s="24673"/>
      <c r="BQ121" s="24674"/>
      <c r="BR121" s="24675"/>
      <c r="BS121" s="23420"/>
      <c r="BT121" s="23161"/>
      <c r="BU121" s="23339"/>
      <c r="BV121" s="23339" t="str">
        <f>IF(T121="","",T121)</f>
        <v>Добавить вид теплоносителя (параметры теплоносителя)</v>
      </c>
      <c r="BW121" s="23339"/>
      <c r="BX121" s="23339"/>
      <c r="BY121" s="22944">
        <v>0</v>
      </c>
    </row>
    <row s="63225" customFormat="1" customHeight="1" ht="15">
      <c r="A122" s="23328"/>
      <c r="B122" s="23328"/>
      <c r="C122" s="23328"/>
      <c r="D122" s="23328"/>
      <c r="E122" s="23341" t="s">
        <v>119</v>
      </c>
      <c r="F122" s="23341"/>
      <c r="G122" s="23341"/>
      <c r="H122" s="23341"/>
      <c r="I122" s="23352"/>
      <c r="J122" s="23328"/>
      <c r="K122" s="23328"/>
      <c r="L122" s="23330"/>
      <c r="M122" s="23133"/>
      <c r="N122" s="23353"/>
      <c r="O122" s="23353"/>
      <c r="P122" s="23354"/>
      <c r="Q122" s="23354"/>
      <c r="R122" s="23355"/>
      <c r="S122" s="24677"/>
      <c r="T122" s="24678" t="s">
        <v>487</v>
      </c>
      <c r="U122" s="24679"/>
      <c r="V122" s="24680"/>
      <c r="W122" s="24681"/>
      <c r="X122" s="24682"/>
      <c r="Y122" s="24683"/>
      <c r="Z122" s="24684"/>
      <c r="AA122" s="24685"/>
      <c r="AB122" s="24686"/>
      <c r="AC122" s="24687"/>
      <c r="AD122" s="24688"/>
      <c r="AE122" s="24689"/>
      <c r="AF122" s="24690"/>
      <c r="AG122" s="24691"/>
      <c r="AH122" s="24692"/>
      <c r="AI122" s="24693"/>
      <c r="AJ122" s="24694"/>
      <c r="AK122" s="24695"/>
      <c r="AL122" s="24696"/>
      <c r="AM122" s="24697"/>
      <c r="AN122" s="24698"/>
      <c r="AO122" s="24699"/>
      <c r="AP122" s="24700"/>
      <c r="AQ122" s="24701"/>
      <c r="AR122" s="24702"/>
      <c r="AS122" s="24703"/>
      <c r="AT122" s="24704"/>
      <c r="AU122" s="24705"/>
      <c r="AV122" s="24706"/>
      <c r="AW122" s="24707"/>
      <c r="AX122" s="24708"/>
      <c r="AY122" s="24709"/>
      <c r="AZ122" s="24710"/>
      <c r="BA122" s="24711"/>
      <c r="BB122" s="24712"/>
      <c r="BC122" s="24713"/>
      <c r="BD122" s="24714"/>
      <c r="BE122" s="24715"/>
      <c r="BF122" s="24716"/>
      <c r="BG122" s="24717"/>
      <c r="BH122" s="24718"/>
      <c r="BI122" s="24719"/>
      <c r="BJ122" s="24720"/>
      <c r="BK122" s="24721"/>
      <c r="BL122" s="24722"/>
      <c r="BM122" s="24723"/>
      <c r="BN122" s="24724"/>
      <c r="BO122" s="24725"/>
      <c r="BP122" s="24726"/>
      <c r="BQ122" s="24727"/>
      <c r="BR122" s="24728"/>
      <c r="BS122" s="24729"/>
      <c r="BT122" s="23161"/>
      <c r="BU122" s="23339"/>
      <c r="BV122" s="23339" t="str">
        <f>IF(T122="","",T122)</f>
        <v>Добавить группу потребителей</v>
      </c>
      <c r="BW122" s="23339"/>
      <c r="BX122" s="23339"/>
      <c r="BY122" s="22944">
        <v>0</v>
      </c>
    </row>
    <row s="63225" customFormat="1" customHeight="1" ht="14.25">
      <c r="A123" s="23328"/>
      <c r="B123" s="23328"/>
      <c r="C123" s="23328"/>
      <c r="D123" s="23328"/>
      <c r="E123" s="23341" t="s">
        <v>119</v>
      </c>
      <c r="F123" s="23341"/>
      <c r="G123" s="23341"/>
      <c r="H123" s="23329"/>
      <c r="I123" s="23328"/>
      <c r="J123" s="23328"/>
      <c r="K123" s="23328"/>
      <c r="L123" s="23330"/>
      <c r="M123" s="23331"/>
      <c r="N123" s="23331"/>
      <c r="O123" s="23133"/>
      <c r="P123" s="23333"/>
      <c r="Q123" s="23476"/>
      <c r="R123" s="23334"/>
      <c r="S123" s="24731"/>
      <c r="T123" s="24732" t="s">
        <v>488</v>
      </c>
      <c r="U123" s="24733"/>
      <c r="V123" s="24734"/>
      <c r="W123" s="24735"/>
      <c r="X123" s="24736"/>
      <c r="Y123" s="24737"/>
      <c r="Z123" s="24738"/>
      <c r="AA123" s="24739"/>
      <c r="AB123" s="24740"/>
      <c r="AC123" s="24741"/>
      <c r="AD123" s="24742"/>
      <c r="AE123" s="24743"/>
      <c r="AF123" s="24744"/>
      <c r="AG123" s="24745"/>
      <c r="AH123" s="24746"/>
      <c r="AI123" s="24747"/>
      <c r="AJ123" s="24748"/>
      <c r="AK123" s="24749"/>
      <c r="AL123" s="24750"/>
      <c r="AM123" s="24751"/>
      <c r="AN123" s="24752"/>
      <c r="AO123" s="24753"/>
      <c r="AP123" s="24754"/>
      <c r="AQ123" s="24755"/>
      <c r="AR123" s="24756"/>
      <c r="AS123" s="24757"/>
      <c r="AT123" s="24758"/>
      <c r="AU123" s="24759"/>
      <c r="AV123" s="24760"/>
      <c r="AW123" s="24761"/>
      <c r="AX123" s="24762"/>
      <c r="AY123" s="24763"/>
      <c r="AZ123" s="24764"/>
      <c r="BA123" s="24765"/>
      <c r="BB123" s="24766"/>
      <c r="BC123" s="24767"/>
      <c r="BD123" s="24768"/>
      <c r="BE123" s="24769"/>
      <c r="BF123" s="24770"/>
      <c r="BG123" s="24771"/>
      <c r="BH123" s="24772"/>
      <c r="BI123" s="24773"/>
      <c r="BJ123" s="24774"/>
      <c r="BK123" s="24775"/>
      <c r="BL123" s="24776"/>
      <c r="BM123" s="24777"/>
      <c r="BN123" s="24778"/>
      <c r="BO123" s="24779"/>
      <c r="BP123" s="24780"/>
      <c r="BQ123" s="24781"/>
      <c r="BR123" s="24782"/>
      <c r="BS123" s="24783"/>
      <c r="BT123" s="23161"/>
      <c r="BU123" s="23339"/>
      <c r="BV123" s="23339" t="str">
        <f>IF(T123="","",T123)</f>
        <v>Добавить схему подключения</v>
      </c>
      <c r="BW123" s="23339"/>
      <c r="BX123" s="23339"/>
      <c r="BY123" s="22944">
        <v>0</v>
      </c>
    </row>
    <row s="61685" customFormat="1" customHeight="1" ht="0.75">
      <c r="A124" s="23531"/>
      <c r="B124" s="23531"/>
      <c r="C124" s="23531"/>
      <c r="D124" s="23531"/>
      <c r="E124" s="23341" t="s">
        <v>119</v>
      </c>
      <c r="F124" s="23341"/>
      <c r="G124" s="23329"/>
      <c r="H124" s="23531"/>
      <c r="I124" s="23531"/>
      <c r="J124" s="23531"/>
      <c r="K124" s="23531"/>
      <c r="L124" s="23532"/>
      <c r="M124" s="23533"/>
      <c r="N124" s="23533"/>
      <c r="O124" s="23161"/>
      <c r="P124" s="23534"/>
      <c r="Q124" s="23535"/>
      <c r="R124" s="23534"/>
      <c r="S124" s="23536"/>
      <c r="T124" s="23537" t="s">
        <v>171</v>
      </c>
      <c r="U124" s="23115"/>
      <c r="V124" s="23115"/>
      <c r="W124" s="23115"/>
      <c r="X124" s="23115"/>
      <c r="Y124" s="23115"/>
      <c r="Z124" s="23115"/>
      <c r="AA124" s="23115"/>
      <c r="AB124" s="23115"/>
      <c r="AC124" s="23115"/>
      <c r="AD124" s="23115"/>
      <c r="AE124" s="23115"/>
      <c r="AF124" s="23115"/>
      <c r="AG124" s="23115"/>
      <c r="AH124" s="23115"/>
      <c r="AI124" s="23115"/>
      <c r="AJ124" s="23115"/>
      <c r="AK124" s="23115"/>
      <c r="AL124" s="23115"/>
      <c r="AM124" s="23115"/>
      <c r="AN124" s="23115"/>
      <c r="AO124" s="23115"/>
      <c r="AP124" s="23115"/>
      <c r="AQ124" s="23115"/>
      <c r="AR124" s="23115"/>
      <c r="AS124" s="23115"/>
      <c r="AT124" s="23115"/>
      <c r="AU124" s="23115"/>
      <c r="AV124" s="23115"/>
      <c r="AW124" s="23115"/>
      <c r="AX124" s="23115"/>
      <c r="AY124" s="23115"/>
      <c r="AZ124" s="23115"/>
      <c r="BA124" s="23115"/>
      <c r="BB124" s="23115"/>
      <c r="BC124" s="23115"/>
      <c r="BD124" s="23115"/>
      <c r="BE124" s="23115"/>
      <c r="BF124" s="23115"/>
      <c r="BG124" s="23115"/>
      <c r="BH124" s="23115"/>
      <c r="BI124" s="23115"/>
      <c r="BJ124" s="23115"/>
      <c r="BK124" s="23115"/>
      <c r="BL124" s="23115"/>
      <c r="BM124" s="23115"/>
      <c r="BN124" s="23115"/>
      <c r="BO124" s="23115"/>
      <c r="BP124" s="23115"/>
      <c r="BQ124" s="23115"/>
      <c r="BR124" s="23115"/>
      <c r="BS124" s="23115"/>
      <c r="BT124" s="23161"/>
      <c r="BU124" s="23339"/>
      <c r="BV124" s="23339" t="str">
        <f>IF(T124="","",T124)</f>
        <v>Добавить источник для дифференциации</v>
      </c>
      <c r="BW124" s="23339"/>
      <c r="BX124" s="23339"/>
      <c r="BY124" s="23161">
        <v>0</v>
      </c>
    </row>
    <row s="61685" customFormat="1" customHeight="1" ht="0.75">
      <c r="A125" s="23531"/>
      <c r="B125" s="23531"/>
      <c r="C125" s="23531"/>
      <c r="D125" s="23531"/>
      <c r="E125" s="23341" t="s">
        <v>119</v>
      </c>
      <c r="F125" s="23329"/>
      <c r="G125" s="23531"/>
      <c r="H125" s="23531"/>
      <c r="I125" s="23531"/>
      <c r="J125" s="23531"/>
      <c r="K125" s="23531"/>
      <c r="L125" s="23532"/>
      <c r="M125" s="23539"/>
      <c r="N125" s="23539"/>
      <c r="O125" s="23161"/>
      <c r="P125" s="23534"/>
      <c r="Q125" s="23535"/>
      <c r="R125" s="23534"/>
      <c r="S125" s="23540"/>
      <c r="T125" s="23541" t="s">
        <v>172</v>
      </c>
      <c r="U125" s="23121"/>
      <c r="V125" s="23121"/>
      <c r="W125" s="23121"/>
      <c r="X125" s="23121"/>
      <c r="Y125" s="23121"/>
      <c r="Z125" s="23121"/>
      <c r="AA125" s="23121"/>
      <c r="AB125" s="23121"/>
      <c r="AC125" s="23121"/>
      <c r="AD125" s="23121"/>
      <c r="AE125" s="23121"/>
      <c r="AF125" s="23121"/>
      <c r="AG125" s="23121"/>
      <c r="AH125" s="23121"/>
      <c r="AI125" s="23121"/>
      <c r="AJ125" s="23121"/>
      <c r="AK125" s="23121"/>
      <c r="AL125" s="23121"/>
      <c r="AM125" s="23121"/>
      <c r="AN125" s="23121"/>
      <c r="AO125" s="23121"/>
      <c r="AP125" s="23121"/>
      <c r="AQ125" s="23121"/>
      <c r="AR125" s="23121"/>
      <c r="AS125" s="23121"/>
      <c r="AT125" s="23121"/>
      <c r="AU125" s="23121"/>
      <c r="AV125" s="23121"/>
      <c r="AW125" s="23121"/>
      <c r="AX125" s="23121"/>
      <c r="AY125" s="23121"/>
      <c r="AZ125" s="23121"/>
      <c r="BA125" s="23121"/>
      <c r="BB125" s="23121"/>
      <c r="BC125" s="23121"/>
      <c r="BD125" s="23121"/>
      <c r="BE125" s="23121"/>
      <c r="BF125" s="23121"/>
      <c r="BG125" s="23121"/>
      <c r="BH125" s="23121"/>
      <c r="BI125" s="23121"/>
      <c r="BJ125" s="23121"/>
      <c r="BK125" s="23121"/>
      <c r="BL125" s="23121"/>
      <c r="BM125" s="23121"/>
      <c r="BN125" s="23121"/>
      <c r="BO125" s="23121"/>
      <c r="BP125" s="23121"/>
      <c r="BQ125" s="23121"/>
      <c r="BR125" s="23121"/>
      <c r="BS125" s="23121"/>
      <c r="BT125" s="23161"/>
      <c r="BU125" s="23339"/>
      <c r="BV125" s="23339" t="str">
        <f>IF(T125="","",T125)</f>
        <v>Добавить централизованную систему для дифференциации</v>
      </c>
      <c r="BW125" s="23339"/>
      <c r="BX125" s="23339"/>
      <c r="BY125" s="23161">
        <v>0</v>
      </c>
    </row>
    <row s="61685" customFormat="1" customHeight="1" ht="0.75">
      <c r="A126" s="23531"/>
      <c r="B126" s="23531"/>
      <c r="C126" s="23531"/>
      <c r="D126" s="23531"/>
      <c r="E126" s="23329" t="s">
        <v>119</v>
      </c>
      <c r="F126" s="23531"/>
      <c r="G126" s="23531"/>
      <c r="H126" s="23531"/>
      <c r="I126" s="23531"/>
      <c r="J126" s="23531"/>
      <c r="K126" s="23531"/>
      <c r="L126" s="23532"/>
      <c r="M126" s="23539"/>
      <c r="N126" s="23539"/>
      <c r="O126" s="23161"/>
      <c r="P126" s="23534"/>
      <c r="Q126" s="23535"/>
      <c r="R126" s="23534"/>
      <c r="S126" s="23540"/>
      <c r="T126" s="23543" t="s">
        <v>173</v>
      </c>
      <c r="U126" s="23121"/>
      <c r="V126" s="23121"/>
      <c r="W126" s="23121"/>
      <c r="X126" s="23121"/>
      <c r="Y126" s="23121"/>
      <c r="Z126" s="23121"/>
      <c r="AA126" s="23121"/>
      <c r="AB126" s="23121"/>
      <c r="AC126" s="23121"/>
      <c r="AD126" s="23121"/>
      <c r="AE126" s="23121"/>
      <c r="AF126" s="23121"/>
      <c r="AG126" s="23121"/>
      <c r="AH126" s="23121"/>
      <c r="AI126" s="23121"/>
      <c r="AJ126" s="23121"/>
      <c r="AK126" s="23121"/>
      <c r="AL126" s="23121"/>
      <c r="AM126" s="23121"/>
      <c r="AN126" s="23121"/>
      <c r="AO126" s="23121"/>
      <c r="AP126" s="23121"/>
      <c r="AQ126" s="23121"/>
      <c r="AR126" s="23121"/>
      <c r="AS126" s="23121"/>
      <c r="AT126" s="23121"/>
      <c r="AU126" s="23121"/>
      <c r="AV126" s="23121"/>
      <c r="AW126" s="23121"/>
      <c r="AX126" s="23121"/>
      <c r="AY126" s="23121"/>
      <c r="AZ126" s="23121"/>
      <c r="BA126" s="23121"/>
      <c r="BB126" s="23121"/>
      <c r="BC126" s="23121"/>
      <c r="BD126" s="23121"/>
      <c r="BE126" s="23121"/>
      <c r="BF126" s="23121"/>
      <c r="BG126" s="23121"/>
      <c r="BH126" s="23121"/>
      <c r="BI126" s="23121"/>
      <c r="BJ126" s="23121"/>
      <c r="BK126" s="23121"/>
      <c r="BL126" s="23121"/>
      <c r="BM126" s="23121"/>
      <c r="BN126" s="23121"/>
      <c r="BO126" s="23121"/>
      <c r="BP126" s="23121"/>
      <c r="BQ126" s="23121"/>
      <c r="BR126" s="23121"/>
      <c r="BS126" s="23121"/>
      <c r="BT126" s="23161"/>
      <c r="BU126" s="23339"/>
      <c r="BV126" s="23339" t="str">
        <f>IF(T126="","",T126)</f>
        <v>Добавить территорию для дифференциации</v>
      </c>
      <c r="BW126" s="23339"/>
      <c r="BX126" s="23339"/>
      <c r="BY126" s="23161">
        <v>0</v>
      </c>
    </row>
    <row s="61695" customFormat="1" customHeight="1" ht="1.05">
      <c r="A127" s="2006"/>
      <c r="B127" s="2006"/>
      <c r="C127" s="2006"/>
      <c r="D127" s="2006"/>
      <c r="E127" s="2035"/>
      <c r="F127" s="2006"/>
      <c r="G127" s="2006"/>
      <c r="H127" s="2006"/>
      <c r="I127" s="2006"/>
      <c r="J127" s="2006"/>
      <c r="K127" s="2006"/>
      <c r="L127" s="2031"/>
      <c r="M127" s="2013"/>
      <c r="N127" s="2013"/>
      <c r="P127" s="2008"/>
      <c r="Q127" s="2009"/>
      <c r="R127" s="2008"/>
      <c r="S127" s="2014"/>
      <c r="T127" s="2017" t="s">
        <v>186</v>
      </c>
      <c r="U127" s="2016"/>
      <c r="V127" s="2016"/>
      <c r="W127" s="2016"/>
      <c r="X127" s="2016"/>
      <c r="Y127" s="2016"/>
      <c r="Z127" s="2016"/>
      <c r="AA127" s="2016"/>
      <c r="AB127" s="2016"/>
      <c r="AC127" s="2016"/>
      <c r="AD127" s="2016"/>
      <c r="AE127" s="2016"/>
      <c r="AF127" s="2016"/>
      <c r="AG127" s="2016"/>
      <c r="AH127" s="2016"/>
      <c r="AI127" s="2016"/>
      <c r="AJ127" s="2016"/>
      <c r="AK127" s="2016"/>
      <c r="AL127" s="23121"/>
      <c r="AM127" s="23121"/>
      <c r="AN127" s="23121"/>
      <c r="AO127" s="23121"/>
      <c r="AP127" s="23121"/>
      <c r="AQ127" s="23121"/>
      <c r="AR127" s="23121"/>
      <c r="AS127" s="23121"/>
      <c r="AT127" s="23121"/>
      <c r="AU127" s="23121"/>
      <c r="AV127" s="23121"/>
      <c r="AW127" s="23121"/>
      <c r="AX127" s="23121"/>
      <c r="AY127" s="23121"/>
      <c r="AZ127" s="23121"/>
      <c r="BA127" s="23121"/>
      <c r="BB127" s="23121"/>
      <c r="BC127" s="23121"/>
      <c r="BD127" s="23121"/>
      <c r="BE127" s="23121"/>
      <c r="BF127" s="23121"/>
      <c r="BG127" s="23121"/>
      <c r="BH127" s="23121"/>
      <c r="BI127" s="23121"/>
      <c r="BJ127" s="23121"/>
      <c r="BK127" s="23121"/>
      <c r="BL127" s="23121"/>
      <c r="BM127" s="23121"/>
      <c r="BN127" s="23121"/>
      <c r="BO127" s="23121"/>
      <c r="BP127" s="23121"/>
      <c r="BQ127" s="23121"/>
      <c r="BR127" s="2016"/>
      <c r="BS127" s="2016"/>
      <c r="BU127" s="1481"/>
      <c r="BV127" s="1481" t="str">
        <f>IF(T127="","",T127)</f>
        <v>Добавить наименование тарифа</v>
      </c>
      <c r="BW127" s="1481"/>
      <c r="BX127" s="1481"/>
      <c r="BY127" s="1210">
        <v>1</v>
      </c>
    </row>
    <row customHeight="1" ht="11.549999999999999">
      <c r="M128" s="1852"/>
      <c r="N128" s="1852"/>
      <c r="O128" s="1229"/>
      <c r="P128" s="1847"/>
      <c r="Q128" s="1847"/>
      <c r="R128" s="1847"/>
      <c r="S128" s="1847"/>
      <c r="AL128" s="22944"/>
      <c r="AM128" s="22944"/>
      <c r="AN128" s="22944"/>
      <c r="AO128" s="22944"/>
      <c r="AP128" s="22944"/>
      <c r="AQ128" s="22944"/>
      <c r="AR128" s="22944"/>
      <c r="AS128" s="22944"/>
      <c r="AT128" s="22944"/>
      <c r="AU128" s="22944"/>
      <c r="AV128" s="22944"/>
      <c r="AW128" s="22944"/>
      <c r="AX128" s="22944"/>
      <c r="AY128" s="22944"/>
      <c r="AZ128" s="22944"/>
      <c r="BA128" s="22944"/>
      <c r="BB128" s="22944"/>
      <c r="BC128" s="22944"/>
      <c r="BD128" s="22944"/>
      <c r="BE128" s="22944"/>
      <c r="BF128" s="22944"/>
      <c r="BG128" s="22944"/>
      <c r="BH128" s="22944"/>
      <c r="BI128" s="22944"/>
      <c r="BJ128" s="22944"/>
      <c r="BK128" s="22944"/>
      <c r="BL128" s="22944"/>
      <c r="BM128" s="22944"/>
      <c r="BN128" s="22944"/>
      <c r="BO128" s="22944"/>
      <c r="BP128" s="22944"/>
      <c r="BQ128" s="22944"/>
      <c r="BT128" s="1847"/>
      <c r="BU128" s="1847"/>
      <c r="BV128" s="1847"/>
      <c r="BW128" s="1847"/>
      <c r="BX128" s="1847"/>
      <c r="BY128" s="1847">
        <v>11</v>
      </c>
    </row>
    <row customHeight="1" ht="28.5">
      <c r="O129" s="1229"/>
      <c r="S129" s="1945"/>
      <c r="T129" s="2977"/>
      <c r="U129" s="2977"/>
      <c r="V129" s="2977"/>
      <c r="W129" s="2977"/>
      <c r="X129" s="2977"/>
      <c r="Y129" s="2977"/>
      <c r="Z129" s="2977"/>
      <c r="AA129" s="2977"/>
      <c r="AB129" s="2977"/>
      <c r="AC129" s="2977"/>
      <c r="AD129" s="2977"/>
      <c r="AE129" s="2977"/>
      <c r="AF129" s="2977"/>
      <c r="AG129" s="2977"/>
      <c r="AH129" s="2977"/>
      <c r="AI129" s="2977"/>
      <c r="AJ129" s="2977"/>
      <c r="AK129" s="2977"/>
      <c r="AL129" s="23718"/>
      <c r="AM129" s="23718"/>
      <c r="AN129" s="23718"/>
      <c r="AO129" s="23718"/>
      <c r="AP129" s="23718"/>
      <c r="AQ129" s="23718"/>
      <c r="AR129" s="23718"/>
      <c r="AS129" s="23718"/>
      <c r="AT129" s="23718"/>
      <c r="AU129" s="23718"/>
      <c r="AV129" s="23718"/>
      <c r="AW129" s="23718"/>
      <c r="AX129" s="23718"/>
      <c r="AY129" s="23718"/>
      <c r="AZ129" s="23718"/>
      <c r="BA129" s="23718"/>
      <c r="BB129" s="23718"/>
      <c r="BC129" s="23718"/>
      <c r="BD129" s="23718"/>
      <c r="BE129" s="23718"/>
      <c r="BF129" s="23718"/>
      <c r="BG129" s="23718"/>
      <c r="BH129" s="23718"/>
      <c r="BI129" s="23718"/>
      <c r="BJ129" s="23718"/>
      <c r="BK129" s="23718"/>
      <c r="BL129" s="23718"/>
      <c r="BM129" s="23718"/>
      <c r="BN129" s="23718"/>
      <c r="BO129" s="23718"/>
      <c r="BP129" s="23718"/>
      <c r="BQ129" s="23718"/>
      <c r="BR129" s="2977"/>
      <c r="BS129" s="2977"/>
      <c r="BY129" s="1847">
        <v>27</v>
      </c>
    </row>
    <row customHeight="1" ht="65.25">
      <c r="O130" s="1229"/>
      <c r="T130" s="2977"/>
      <c r="U130" s="2977"/>
      <c r="V130" s="2977"/>
      <c r="W130" s="2977"/>
      <c r="X130" s="2977"/>
      <c r="Y130" s="2977"/>
      <c r="Z130" s="2977"/>
      <c r="AA130" s="2977"/>
      <c r="AB130" s="2977"/>
      <c r="AC130" s="2977"/>
      <c r="AD130" s="2977"/>
      <c r="AE130" s="2977"/>
      <c r="AF130" s="2977"/>
      <c r="AG130" s="2977"/>
      <c r="AH130" s="2977"/>
      <c r="AI130" s="2977"/>
      <c r="AJ130" s="2977"/>
      <c r="AK130" s="2977"/>
      <c r="AL130" s="23718"/>
      <c r="AM130" s="23718"/>
      <c r="AN130" s="23718"/>
      <c r="AO130" s="23718"/>
      <c r="AP130" s="23718"/>
      <c r="AQ130" s="23718"/>
      <c r="AR130" s="23718"/>
      <c r="AS130" s="23718"/>
      <c r="AT130" s="23718"/>
      <c r="AU130" s="23718"/>
      <c r="AV130" s="23718"/>
      <c r="AW130" s="23718"/>
      <c r="AX130" s="23718"/>
      <c r="AY130" s="23718"/>
      <c r="AZ130" s="23718"/>
      <c r="BA130" s="23718"/>
      <c r="BB130" s="23718"/>
      <c r="BC130" s="23718"/>
      <c r="BD130" s="23718"/>
      <c r="BE130" s="23718"/>
      <c r="BF130" s="23718"/>
      <c r="BG130" s="23718"/>
      <c r="BH130" s="23718"/>
      <c r="BI130" s="23718"/>
      <c r="BJ130" s="23718"/>
      <c r="BK130" s="23718"/>
      <c r="BL130" s="23718"/>
      <c r="BM130" s="23718"/>
      <c r="BN130" s="23718"/>
      <c r="BO130" s="23718"/>
      <c r="BP130" s="23718"/>
      <c r="BQ130" s="23718"/>
      <c r="BR130" s="2977"/>
      <c r="BS130" s="2977"/>
      <c r="BY130" s="1847">
        <v>62</v>
      </c>
    </row>
    <row customHeight="1" ht="14.699999999999998">
      <c r="O131" s="1229"/>
      <c r="AL131" s="22944"/>
      <c r="AM131" s="22944"/>
      <c r="AN131" s="22944"/>
      <c r="AO131" s="22944"/>
      <c r="AP131" s="22944"/>
      <c r="AQ131" s="22944"/>
      <c r="AR131" s="22944"/>
      <c r="AS131" s="22944"/>
      <c r="AT131" s="22944"/>
      <c r="AU131" s="22944"/>
      <c r="AV131" s="22944"/>
      <c r="AW131" s="22944"/>
      <c r="AX131" s="22944"/>
      <c r="AY131" s="22944"/>
      <c r="AZ131" s="22944"/>
      <c r="BA131" s="22944"/>
      <c r="BB131" s="22944"/>
      <c r="BC131" s="22944"/>
      <c r="BD131" s="22944"/>
      <c r="BE131" s="22944"/>
      <c r="BF131" s="22944"/>
      <c r="BG131" s="22944"/>
      <c r="BH131" s="22944"/>
      <c r="BI131" s="22944"/>
      <c r="BJ131" s="22944"/>
      <c r="BK131" s="22944"/>
      <c r="BL131" s="22944"/>
      <c r="BM131" s="22944"/>
      <c r="BN131" s="22944"/>
      <c r="BO131" s="22944"/>
      <c r="BP131" s="22944"/>
      <c r="BQ131" s="22944"/>
      <c r="BY131" s="1847">
        <v>14</v>
      </c>
    </row>
    <row customHeight="1" ht="18.75">
      <c r="O132" s="1229"/>
      <c r="S132" s="1945"/>
      <c r="T132" s="2977"/>
      <c r="U132" s="2977"/>
      <c r="V132" s="2977"/>
      <c r="W132" s="2977"/>
      <c r="X132" s="2977"/>
      <c r="Y132" s="2977"/>
      <c r="Z132" s="2977"/>
      <c r="AA132" s="2977"/>
      <c r="AB132" s="2977"/>
      <c r="AC132" s="2977"/>
      <c r="AD132" s="2977"/>
      <c r="AE132" s="2977"/>
      <c r="AF132" s="2977"/>
      <c r="AG132" s="2977"/>
      <c r="AH132" s="2977"/>
      <c r="AI132" s="2977"/>
      <c r="AJ132" s="2977"/>
      <c r="AK132" s="2977"/>
      <c r="AL132" s="23718"/>
      <c r="AM132" s="23718"/>
      <c r="AN132" s="23718"/>
      <c r="AO132" s="23718"/>
      <c r="AP132" s="23718"/>
      <c r="AQ132" s="23718"/>
      <c r="AR132" s="23718"/>
      <c r="AS132" s="23718"/>
      <c r="AT132" s="23718"/>
      <c r="AU132" s="23718"/>
      <c r="AV132" s="23718"/>
      <c r="AW132" s="23718"/>
      <c r="AX132" s="23718"/>
      <c r="AY132" s="23718"/>
      <c r="AZ132" s="23718"/>
      <c r="BA132" s="23718"/>
      <c r="BB132" s="23718"/>
      <c r="BC132" s="23718"/>
      <c r="BD132" s="23718"/>
      <c r="BE132" s="23718"/>
      <c r="BF132" s="23718"/>
      <c r="BG132" s="23718"/>
      <c r="BH132" s="23718"/>
      <c r="BI132" s="23718"/>
      <c r="BJ132" s="23718"/>
      <c r="BK132" s="23718"/>
      <c r="BL132" s="23718"/>
      <c r="BM132" s="23718"/>
      <c r="BN132" s="23718"/>
      <c r="BO132" s="23718"/>
      <c r="BP132" s="23718"/>
      <c r="BQ132" s="23718"/>
      <c r="BR132" s="2977"/>
      <c r="BS132" s="2977"/>
      <c r="BY132" s="1847">
        <v>18</v>
      </c>
    </row>
    <row customHeight="1" ht="18.75">
      <c r="O133" s="1229"/>
      <c r="T133" s="2977"/>
      <c r="U133" s="2977"/>
      <c r="V133" s="2977"/>
      <c r="W133" s="2977"/>
      <c r="X133" s="2977"/>
      <c r="Y133" s="2977"/>
      <c r="Z133" s="2977"/>
      <c r="AA133" s="2977"/>
      <c r="AB133" s="2977"/>
      <c r="AC133" s="2977"/>
      <c r="AD133" s="2977"/>
      <c r="AE133" s="2977"/>
      <c r="AF133" s="2977"/>
      <c r="AG133" s="2977"/>
      <c r="AH133" s="2977"/>
      <c r="AI133" s="2977"/>
      <c r="AJ133" s="2977"/>
      <c r="AK133" s="2977"/>
      <c r="AL133" s="23718"/>
      <c r="AM133" s="23718"/>
      <c r="AN133" s="23718"/>
      <c r="AO133" s="23718"/>
      <c r="AP133" s="23718"/>
      <c r="AQ133" s="23718"/>
      <c r="AR133" s="23718"/>
      <c r="AS133" s="23718"/>
      <c r="AT133" s="23718"/>
      <c r="AU133" s="23718"/>
      <c r="AV133" s="23718"/>
      <c r="AW133" s="23718"/>
      <c r="AX133" s="23718"/>
      <c r="AY133" s="23718"/>
      <c r="AZ133" s="23718"/>
      <c r="BA133" s="23718"/>
      <c r="BB133" s="23718"/>
      <c r="BC133" s="23718"/>
      <c r="BD133" s="23718"/>
      <c r="BE133" s="23718"/>
      <c r="BF133" s="23718"/>
      <c r="BG133" s="23718"/>
      <c r="BH133" s="23718"/>
      <c r="BI133" s="23718"/>
      <c r="BJ133" s="23718"/>
      <c r="BK133" s="23718"/>
      <c r="BL133" s="23718"/>
      <c r="BM133" s="23718"/>
      <c r="BN133" s="23718"/>
      <c r="BO133" s="23718"/>
      <c r="BP133" s="23718"/>
      <c r="BQ133" s="23718"/>
      <c r="BR133" s="2977"/>
      <c r="BS133" s="2977"/>
      <c r="BY133" s="1847">
        <v>18</v>
      </c>
    </row>
    <row customHeight="1" ht="29.25">
      <c r="O134" s="1229"/>
      <c r="S134" s="1945"/>
      <c r="T134" s="2977"/>
      <c r="U134" s="2977"/>
      <c r="V134" s="2977"/>
      <c r="W134" s="2977"/>
      <c r="X134" s="2977"/>
      <c r="Y134" s="2977"/>
      <c r="Z134" s="2977"/>
      <c r="AA134" s="2977"/>
      <c r="AB134" s="2977"/>
      <c r="AC134" s="2977"/>
      <c r="AD134" s="2977"/>
      <c r="AE134" s="2977"/>
      <c r="AF134" s="2977"/>
      <c r="AG134" s="2977"/>
      <c r="AH134" s="2977"/>
      <c r="AI134" s="2977"/>
      <c r="AJ134" s="2977"/>
      <c r="AK134" s="2977"/>
      <c r="AL134" s="23718"/>
      <c r="AM134" s="23718"/>
      <c r="AN134" s="23718"/>
      <c r="AO134" s="23718"/>
      <c r="AP134" s="23718"/>
      <c r="AQ134" s="23718"/>
      <c r="AR134" s="23718"/>
      <c r="AS134" s="23718"/>
      <c r="AT134" s="23718"/>
      <c r="AU134" s="23718"/>
      <c r="AV134" s="23718"/>
      <c r="AW134" s="23718"/>
      <c r="AX134" s="23718"/>
      <c r="AY134" s="23718"/>
      <c r="AZ134" s="23718"/>
      <c r="BA134" s="23718"/>
      <c r="BB134" s="23718"/>
      <c r="BC134" s="23718"/>
      <c r="BD134" s="23718"/>
      <c r="BE134" s="23718"/>
      <c r="BF134" s="23718"/>
      <c r="BG134" s="23718"/>
      <c r="BH134" s="23718"/>
      <c r="BI134" s="23718"/>
      <c r="BJ134" s="23718"/>
      <c r="BK134" s="23718"/>
      <c r="BL134" s="23718"/>
      <c r="BM134" s="23718"/>
      <c r="BN134" s="23718"/>
      <c r="BO134" s="23718"/>
      <c r="BP134" s="23718"/>
      <c r="BQ134" s="23718"/>
      <c r="BR134" s="2977"/>
      <c r="BS134" s="2977"/>
      <c r="BY134" s="1847">
        <v>28</v>
      </c>
    </row>
    <row customHeight="1" ht="22.5" hidden="1">
      <c r="A135" s="1852" t="s">
        <v>83</v>
      </c>
      <c r="B135" s="1852">
        <v>0</v>
      </c>
      <c r="C135" s="1852">
        <v>0</v>
      </c>
      <c r="D135" s="1852">
        <v>0</v>
      </c>
      <c r="E135" s="1852">
        <v>0</v>
      </c>
      <c r="F135" s="1852">
        <v>0</v>
      </c>
      <c r="G135" s="1852">
        <v>0</v>
      </c>
      <c r="H135" s="1852">
        <v>0</v>
      </c>
      <c r="I135" s="1852">
        <v>0</v>
      </c>
      <c r="J135" s="1852">
        <v>0</v>
      </c>
      <c r="K135" s="1852">
        <v>0</v>
      </c>
      <c r="L135" s="2021">
        <v>0</v>
      </c>
      <c r="M135" s="2054">
        <v>0</v>
      </c>
      <c r="N135" s="2054">
        <v>0</v>
      </c>
      <c r="O135" s="2054">
        <v>0</v>
      </c>
      <c r="P135" s="2020">
        <v>3</v>
      </c>
      <c r="Q135" s="1036">
        <v>3</v>
      </c>
      <c r="R135" s="1036">
        <v>3</v>
      </c>
      <c r="S135" s="1273">
        <v>12</v>
      </c>
      <c r="T135" s="1847">
        <v>31</v>
      </c>
      <c r="U135" s="1847">
        <v>0</v>
      </c>
      <c r="V135" s="1847">
        <v>0</v>
      </c>
      <c r="W135" s="1847">
        <v>0</v>
      </c>
      <c r="X135" s="1847">
        <v>0</v>
      </c>
      <c r="Y135" s="1847">
        <v>0</v>
      </c>
      <c r="Z135" s="1847">
        <v>0</v>
      </c>
      <c r="AA135" s="1847">
        <v>0</v>
      </c>
      <c r="AB135" s="1847">
        <v>0</v>
      </c>
      <c r="AC135" s="1847">
        <v>0</v>
      </c>
      <c r="AD135" s="1847">
        <v>24</v>
      </c>
      <c r="AE135" s="1847">
        <v>0</v>
      </c>
      <c r="AF135" s="1847">
        <v>24</v>
      </c>
      <c r="AG135" s="1847">
        <v>24</v>
      </c>
      <c r="AH135" s="1847">
        <v>11</v>
      </c>
      <c r="AI135" s="1847">
        <v>3</v>
      </c>
      <c r="AJ135" s="1847">
        <v>11</v>
      </c>
      <c r="AK135" s="1847">
        <v>0</v>
      </c>
      <c r="AL135" s="22944">
        <v>0</v>
      </c>
      <c r="AM135" s="22944">
        <v>0</v>
      </c>
      <c r="AN135" s="22944">
        <v>0</v>
      </c>
      <c r="AO135" s="22944">
        <v>0</v>
      </c>
      <c r="AP135" s="22944">
        <v>0</v>
      </c>
      <c r="AQ135" s="22944">
        <v>0</v>
      </c>
      <c r="AR135" s="22944">
        <v>0</v>
      </c>
      <c r="AS135" s="22944">
        <v>0</v>
      </c>
      <c r="AT135" s="22944">
        <v>0</v>
      </c>
      <c r="AU135" s="22944">
        <v>0</v>
      </c>
      <c r="AV135" s="22944">
        <v>0</v>
      </c>
      <c r="AW135" s="22944">
        <v>0</v>
      </c>
      <c r="AX135" s="22944">
        <v>0</v>
      </c>
      <c r="AY135" s="22944">
        <v>0</v>
      </c>
      <c r="AZ135" s="22944">
        <v>0</v>
      </c>
      <c r="BA135" s="22944">
        <v>0</v>
      </c>
      <c r="BB135" s="22944">
        <v>0</v>
      </c>
      <c r="BC135" s="22944">
        <v>0</v>
      </c>
      <c r="BD135" s="22944">
        <v>0</v>
      </c>
      <c r="BE135" s="22944">
        <v>0</v>
      </c>
      <c r="BF135" s="22944">
        <v>0</v>
      </c>
      <c r="BG135" s="22944">
        <v>0</v>
      </c>
      <c r="BH135" s="22944">
        <v>0</v>
      </c>
      <c r="BI135" s="22944">
        <v>0</v>
      </c>
      <c r="BJ135" s="22944">
        <v>0</v>
      </c>
      <c r="BK135" s="22944">
        <v>0</v>
      </c>
      <c r="BL135" s="22944">
        <v>0</v>
      </c>
      <c r="BM135" s="22944">
        <v>0</v>
      </c>
      <c r="BN135" s="22944">
        <v>0</v>
      </c>
      <c r="BO135" s="22944">
        <v>0</v>
      </c>
      <c r="BP135" s="22944">
        <v>0</v>
      </c>
      <c r="BQ135" s="22944">
        <v>0</v>
      </c>
      <c r="BR135" s="1847">
        <v>4</v>
      </c>
      <c r="BS135" s="1847">
        <v>115</v>
      </c>
      <c r="BT135" s="1203">
        <v>10</v>
      </c>
      <c r="BU135" s="1203">
        <v>10</v>
      </c>
      <c r="BV135" s="1203">
        <v>10</v>
      </c>
      <c r="BW135" s="1203">
        <v>10</v>
      </c>
      <c r="BX135" s="1203">
        <v>10</v>
      </c>
      <c r="BY135" s="1847">
        <v>23</v>
      </c>
    </row>
  </sheetData>
  <sheetProtection sheet="1" formatColumns="0" formatRows="0" autoFilter="0" sort="1" insertRows="1" insertColumns="1" deleteRows="1" deleteColumns="1"/>
  <mergeCells count="434">
    <mergeCell ref="T133:BS133"/>
    <mergeCell ref="T134:BS134"/>
    <mergeCell ref="T132:BS132"/>
    <mergeCell ref="BS49:BS51"/>
    <mergeCell ref="T129:BS129"/>
    <mergeCell ref="T130:BS130"/>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E43:E56"/>
    <mergeCell ref="V43:AC43"/>
    <mergeCell ref="AD43:BR43"/>
    <mergeCell ref="F44:F55"/>
    <mergeCell ref="V44:AC44"/>
    <mergeCell ref="AD44:BR44"/>
    <mergeCell ref="G45:G54"/>
    <mergeCell ref="V45:AC45"/>
    <mergeCell ref="AD45:BR45"/>
    <mergeCell ref="H46:H53"/>
    <mergeCell ref="V46:AC46"/>
    <mergeCell ref="AD46:BR46"/>
    <mergeCell ref="I47:I52"/>
    <mergeCell ref="P47:P52"/>
    <mergeCell ref="V47:AC47"/>
    <mergeCell ref="AD47:BR47"/>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BS8:BS10"/>
    <mergeCell ref="AH17:AH18"/>
    <mergeCell ref="AI17:AI18"/>
    <mergeCell ref="AJ17:AJ18"/>
    <mergeCell ref="AK17:AK18"/>
    <mergeCell ref="AH8:AH9"/>
    <mergeCell ref="AI8:AI9"/>
    <mergeCell ref="AJ8:AJ9"/>
    <mergeCell ref="AK8:AK9"/>
    <mergeCell ref="V7:AC7"/>
    <mergeCell ref="AD7:BR7"/>
    <mergeCell ref="V2:AC2"/>
    <mergeCell ref="AD2:BR2"/>
    <mergeCell ref="V3:AC3"/>
    <mergeCell ref="AD3:BR3"/>
    <mergeCell ref="V4:AC4"/>
    <mergeCell ref="AD4:BR4"/>
    <mergeCell ref="V5:AC5"/>
    <mergeCell ref="AD5:BR5"/>
    <mergeCell ref="V6:AC6"/>
    <mergeCell ref="AD6:BR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BS63:BS65"/>
    <mergeCell ref="AH63:AH64"/>
    <mergeCell ref="AI63:AI64"/>
    <mergeCell ref="AJ63:AJ64"/>
    <mergeCell ref="AK63:AK64"/>
    <mergeCell ref="V62:AC62"/>
    <mergeCell ref="AD62:BR62"/>
    <mergeCell ref="V57:AC57"/>
    <mergeCell ref="AD57:BR57"/>
    <mergeCell ref="V58:AC58"/>
    <mergeCell ref="AD58:BR58"/>
    <mergeCell ref="V59:AC59"/>
    <mergeCell ref="AD59:BR59"/>
    <mergeCell ref="V60:AC60"/>
    <mergeCell ref="AD60:BR60"/>
    <mergeCell ref="V61:AC61"/>
    <mergeCell ref="AD61:BR61"/>
    <mergeCell ref="E57:E70"/>
    <mergeCell ref="F58:F69"/>
    <mergeCell ref="G59:G68"/>
    <mergeCell ref="H60:H67"/>
    <mergeCell ref="I61:I66"/>
    <mergeCell ref="P61:P66"/>
    <mergeCell ref="J62:J65"/>
    <mergeCell ref="Q62:Q65"/>
    <mergeCell ref="K63:K64"/>
    <mergeCell ref="Z63:Z64"/>
    <mergeCell ref="AA63:AA64"/>
    <mergeCell ref="AB63:AB64"/>
    <mergeCell ref="AC63:AC64"/>
    <mergeCell ref="BS77:BS79"/>
    <mergeCell ref="AH77:AH78"/>
    <mergeCell ref="AI77:AI78"/>
    <mergeCell ref="AJ77:AJ78"/>
    <mergeCell ref="AK77:AK78"/>
    <mergeCell ref="V76:AC76"/>
    <mergeCell ref="AD76:BR76"/>
    <mergeCell ref="V71:AC71"/>
    <mergeCell ref="AD71:BR71"/>
    <mergeCell ref="V72:AC72"/>
    <mergeCell ref="AD72:BR72"/>
    <mergeCell ref="V73:AC73"/>
    <mergeCell ref="AD73:BR73"/>
    <mergeCell ref="V74:AC74"/>
    <mergeCell ref="AD74:BR74"/>
    <mergeCell ref="V75:AC75"/>
    <mergeCell ref="AD75:BR75"/>
    <mergeCell ref="E71:E84"/>
    <mergeCell ref="F72:F83"/>
    <mergeCell ref="G73:G82"/>
    <mergeCell ref="H74:H81"/>
    <mergeCell ref="I75:I80"/>
    <mergeCell ref="P75:P80"/>
    <mergeCell ref="J76:J79"/>
    <mergeCell ref="Q76:Q79"/>
    <mergeCell ref="K77:K78"/>
    <mergeCell ref="Z77:Z78"/>
    <mergeCell ref="AA77:AA78"/>
    <mergeCell ref="AB77:AB78"/>
    <mergeCell ref="AC77:AC78"/>
    <mergeCell ref="BS91:BS93"/>
    <mergeCell ref="AH91:AH92"/>
    <mergeCell ref="AI91:AI92"/>
    <mergeCell ref="AJ91:AJ92"/>
    <mergeCell ref="AK91:AK92"/>
    <mergeCell ref="V90:AC90"/>
    <mergeCell ref="AD90:BR90"/>
    <mergeCell ref="V85:AC85"/>
    <mergeCell ref="AD85:BR85"/>
    <mergeCell ref="V86:AC86"/>
    <mergeCell ref="AD86:BR86"/>
    <mergeCell ref="V87:AC87"/>
    <mergeCell ref="AD87:BR87"/>
    <mergeCell ref="V88:AC88"/>
    <mergeCell ref="AD88:BR88"/>
    <mergeCell ref="V89:AC89"/>
    <mergeCell ref="AD89:BR89"/>
    <mergeCell ref="E85:E98"/>
    <mergeCell ref="F86:F97"/>
    <mergeCell ref="G87:G96"/>
    <mergeCell ref="H88:H95"/>
    <mergeCell ref="I89:I94"/>
    <mergeCell ref="P89:P94"/>
    <mergeCell ref="J90:J93"/>
    <mergeCell ref="Q90:Q93"/>
    <mergeCell ref="K91:K92"/>
    <mergeCell ref="Z91:Z92"/>
    <mergeCell ref="AA91:AA92"/>
    <mergeCell ref="AB91:AB92"/>
    <mergeCell ref="AC91:AC92"/>
    <mergeCell ref="BS105:BS107"/>
    <mergeCell ref="AH105:AH106"/>
    <mergeCell ref="AI105:AI106"/>
    <mergeCell ref="AJ105:AJ106"/>
    <mergeCell ref="AK105:AK106"/>
    <mergeCell ref="V104:AC104"/>
    <mergeCell ref="AD104:BR104"/>
    <mergeCell ref="V99:AC99"/>
    <mergeCell ref="AD99:BR99"/>
    <mergeCell ref="V100:AC100"/>
    <mergeCell ref="AD100:BR100"/>
    <mergeCell ref="V101:AC101"/>
    <mergeCell ref="AD101:BR101"/>
    <mergeCell ref="V102:AC102"/>
    <mergeCell ref="AD102:BR102"/>
    <mergeCell ref="V103:AC103"/>
    <mergeCell ref="AD103:BR103"/>
    <mergeCell ref="E99:E112"/>
    <mergeCell ref="F100:F111"/>
    <mergeCell ref="G101:G110"/>
    <mergeCell ref="H102:H109"/>
    <mergeCell ref="I103:I108"/>
    <mergeCell ref="P103:P108"/>
    <mergeCell ref="J104:J107"/>
    <mergeCell ref="Q104:Q107"/>
    <mergeCell ref="K105:K106"/>
    <mergeCell ref="Z105:Z106"/>
    <mergeCell ref="AA105:AA106"/>
    <mergeCell ref="AB105:AB106"/>
    <mergeCell ref="AC105:AC106"/>
    <mergeCell ref="BS119:BS121"/>
    <mergeCell ref="AH119:AH120"/>
    <mergeCell ref="AI119:AI120"/>
    <mergeCell ref="AJ119:AJ120"/>
    <mergeCell ref="AK119:AK120"/>
    <mergeCell ref="V118:AC118"/>
    <mergeCell ref="AD118:BR118"/>
    <mergeCell ref="V113:AC113"/>
    <mergeCell ref="AD113:BR113"/>
    <mergeCell ref="V114:AC114"/>
    <mergeCell ref="AD114:BR114"/>
    <mergeCell ref="V115:AC115"/>
    <mergeCell ref="AD115:BR115"/>
    <mergeCell ref="V116:AC116"/>
    <mergeCell ref="AD116:BR116"/>
    <mergeCell ref="V117:AC117"/>
    <mergeCell ref="AD117:BR117"/>
    <mergeCell ref="E113:E126"/>
    <mergeCell ref="F114:F125"/>
    <mergeCell ref="G115:G124"/>
    <mergeCell ref="H116:H123"/>
    <mergeCell ref="I117:I122"/>
    <mergeCell ref="P117:P122"/>
    <mergeCell ref="J118:J121"/>
    <mergeCell ref="Q118:Q121"/>
    <mergeCell ref="K119:K120"/>
    <mergeCell ref="Z119:Z120"/>
    <mergeCell ref="AA119:AA120"/>
    <mergeCell ref="AB119:AB120"/>
    <mergeCell ref="AC119:AC120"/>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63:AP64"/>
    <mergeCell ref="AQ63:AQ64"/>
    <mergeCell ref="AR63:AR64"/>
    <mergeCell ref="AS63:AS64"/>
    <mergeCell ref="AP77:AP78"/>
    <mergeCell ref="AQ77:AQ78"/>
    <mergeCell ref="AR77:AR78"/>
    <mergeCell ref="AS77:AS78"/>
    <mergeCell ref="AP91:AP92"/>
    <mergeCell ref="AQ91:AQ92"/>
    <mergeCell ref="AR91:AR92"/>
    <mergeCell ref="AS91:AS92"/>
    <mergeCell ref="AP105:AP106"/>
    <mergeCell ref="AQ105:AQ106"/>
    <mergeCell ref="AR105:AR106"/>
    <mergeCell ref="AS105:AS106"/>
    <mergeCell ref="AP119:AP120"/>
    <mergeCell ref="AQ119:AQ120"/>
    <mergeCell ref="AR119:AR120"/>
    <mergeCell ref="AS119:AS12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63:AX64"/>
    <mergeCell ref="AY63:AY64"/>
    <mergeCell ref="AZ63:AZ64"/>
    <mergeCell ref="BA63:BA64"/>
    <mergeCell ref="AX77:AX78"/>
    <mergeCell ref="AY77:AY78"/>
    <mergeCell ref="AZ77:AZ78"/>
    <mergeCell ref="BA77:BA78"/>
    <mergeCell ref="AX91:AX92"/>
    <mergeCell ref="AY91:AY92"/>
    <mergeCell ref="AZ91:AZ92"/>
    <mergeCell ref="BA91:BA92"/>
    <mergeCell ref="AX105:AX106"/>
    <mergeCell ref="AY105:AY106"/>
    <mergeCell ref="AZ105:AZ106"/>
    <mergeCell ref="BA105:BA106"/>
    <mergeCell ref="AX119:AX120"/>
    <mergeCell ref="AY119:AY120"/>
    <mergeCell ref="AZ119:AZ120"/>
    <mergeCell ref="BA119:BA12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63:BF64"/>
    <mergeCell ref="BG63:BG64"/>
    <mergeCell ref="BH63:BH64"/>
    <mergeCell ref="BI63:BI64"/>
    <mergeCell ref="BF77:BF78"/>
    <mergeCell ref="BG77:BG78"/>
    <mergeCell ref="BH77:BH78"/>
    <mergeCell ref="BI77:BI78"/>
    <mergeCell ref="BF91:BF92"/>
    <mergeCell ref="BG91:BG92"/>
    <mergeCell ref="BH91:BH92"/>
    <mergeCell ref="BI91:BI92"/>
    <mergeCell ref="BF105:BF106"/>
    <mergeCell ref="BG105:BG106"/>
    <mergeCell ref="BH105:BH106"/>
    <mergeCell ref="BI105:BI106"/>
    <mergeCell ref="BF119:BF120"/>
    <mergeCell ref="BG119:BG120"/>
    <mergeCell ref="BH119:BH120"/>
    <mergeCell ref="BI119:BI12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63:BN64"/>
    <mergeCell ref="BO63:BO64"/>
    <mergeCell ref="BP63:BP64"/>
    <mergeCell ref="BQ63:BQ64"/>
    <mergeCell ref="BN77:BN78"/>
    <mergeCell ref="BO77:BO78"/>
    <mergeCell ref="BP77:BP78"/>
    <mergeCell ref="BQ77:BQ78"/>
    <mergeCell ref="BN91:BN92"/>
    <mergeCell ref="BO91:BO92"/>
    <mergeCell ref="BP91:BP92"/>
    <mergeCell ref="BQ91:BQ92"/>
    <mergeCell ref="BN105:BN106"/>
    <mergeCell ref="BO105:BO106"/>
    <mergeCell ref="BP105:BP106"/>
    <mergeCell ref="BQ105:BQ106"/>
    <mergeCell ref="BN119:BN120"/>
    <mergeCell ref="BO119:BO120"/>
    <mergeCell ref="BP119:BP120"/>
    <mergeCell ref="BQ119:BQ120"/>
  </mergeCells>
  <dataValidations count="8">
    <dataValidation allowBlank="1" promptTitle="checkPeriodRange" sqref="Y65656 Y131192 Y196728 Y262264 Y327800 Y393336 Y458872 Y524408 Y589944 Y655480 Y721016 Y786552 Y852088 Y917624 Y983160 Y9 AG65656 AG131192 AG196728 AG262264 AG327800 AG393336 AG458872 AG524408 AG589944 AG655480 AG721016 AG786552 AG852088 AG917624 AG983160 AG9 AG50 AG18 Y50 Y64 AG64 Y78 AG78 Y92 AG92 Y106 AG106 Y120 AG120 AO9 AO50 AO64 AO78 AO92 AO106 AO120 AW9 AW50 AW64 AW78 AW92 AW106 AW120 BE9 BE50 BE64 BE78 BE92 BE106 BE120 BM9 BM50 BM64 BM78 BM92 BM106 BM120"/>
    <dataValidation allowBlank="1" showInputMessage="1" showErrorMessage="1" prompt="Для выбора выполните двойной щелчок левой клавиши мыши по соответствующей ячейке." sqref="AA65655 AA131191 AA196727 AA262263 AA327799 AA393335 AA458871 AA524407 AA589943 AA655479 AA721015 AA786551 AA852087 AA917623 AA983159 AC131191 AC458871 AC196727 AC262263 AC327799 AC393335 AC524407 AC589943 AC655479 AC721015 AC786551 AC852087 AC917623 AC983159 AC65655 AI65655 AI131191 AI196727 AI262263 AI327799 AI393335 AI458871 AI524407 AI589943 AI655479 AI721015 AI786551 AI852087 AI917623 AI983159 AK327799:BQ327799 AK393335:BQ393335 AK49 AQ49 AS49 AY49 BA49 BG49 BI49 BO49 BQ49 AK524407:BQ524407 AK8 AQ8 AS8 AY8 BA8 BG8 BI8 BO8 BQ8 AK589943:BQ589943 AK655479:BQ655479 AK17 AK721015:BQ721015 AK786551:BQ786551 AK852087:BQ852087 AK917623:BQ917623 AK983159:BQ983159 AK65655:BQ65655 AK131191:BQ131191 AI49 AK458871:BQ458871 AI8 AC8 AA8 AI17 AK196727:BQ196727 AA49 AC49 AK262263:BQ262263 AA63 AC63 AI63 AK63 AQ63 AS63 AY63 BA63 BG63 BI63 BO63 BQ63 AA77 AC77 AI77 AK77 AQ77 AS77 AY77 BA77 BG77 BI77 BO77 BQ77 AA91 AC91 AI91 AK91 AQ91 AS91 AY91 BA91 BG91 BI91 BO91 BQ91 AA105 AC105 AI105 AK105 AQ105 AS105 AY105 BA105 BG105 BI105 BO105 BQ105 AA119 AC119 AI119 AK119 AQ119 AS119 AY119 BA119 BG119 BI119 BO119 BQ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55 Z131191 Z196727 Z262263 Z327799 Z393335 Z458871 Z524407 Z589943 Z655479 Z721015 Z786551 Z852087 Z917623 Z983159 AB65655 AB131191 AB196727 AB262263 AB327799 AB393335 AB458871 AB524407 AB589943 AB655479 AB721015 AB786551 AB852087 AB917623 AB983159 Z8 AH65655 AH131191 AH196727 AH262263 AH327799 AH393335 AH458871 AH524407 AH589943 AH655479 AH721015 AH786551 AH852087 AH917623 AH983159 AJ65655 AJ131191 AJ196727 AJ262263 AJ327799 AJ393335 AJ458871 AJ524407 AJ589943 AJ655479 AJ721015 AJ786551 AJ852087 AJ917623 AJ983159 AJ49 AH49 AH8 AJ8 AB8 AH17 AJ17 Z49 AB49 Z63 AB63 AH63 AJ63 Z77 AB77 AH77 AJ77 Z91 AB91 AH91 AJ91 Z105 AB105 AH105 AJ105 Z119 AB119 AH119 AJ119 AP8 AR8 AP49 AR49 AP63 AR63 AP77 AR77 AP91 AR91 AP105 AR105 AP119 AR119 AX8 AZ8 AX49 AZ49 AX63 AZ63 AX77 AZ77 AX91 AZ91 AX105 AZ105 AX119 AZ119 BF8 BH8 BF49 BH49 BF63 BH63 BF77 BH77 BF91 BH91 BF105 BH105 BF119 BH119 BN8 BP8 BN49 BP49 BN63 BP63 BN77 BP77 BN91 BP91 BN105 BP105 BN119 BP119"/>
    <dataValidation type="list" allowBlank="1" showInputMessage="1" showErrorMessage="1" errorTitle="Ошибка" error="Выберите значение из списка" sqref="T65655 T131191 T196727 T262263 T327799 T393335 T458871 T524407 T589943 T655479 T721015 T786551 T852087 T917623 T983159">
      <formula1>kind_of_heat_transfer</formula1>
    </dataValidation>
    <dataValidation type="textLength" operator="lessThanOrEqual" allowBlank="1" showInputMessage="1" showErrorMessage="1" errorTitle="Ошибка" error="Допускается ввод не более 900 символов!" sqref="BS65649:BS65656 BS131185:BS131192 BS196721:BS196728 BS262257:BS262264 BS327793:BS327800 BS393329:BS393336 BS458865:BS458872 BS524401:BS524408 BS589937:BS589944 BS655473:BS655480 BS721009:BS721016 BS786545:BS786552 BS852081:BS852088 BS917617:BS917624 BS983153:BS983160">
      <formula1>900</formula1>
    </dataValidation>
    <dataValidation type="list" allowBlank="1" showInputMessage="1" showErrorMessage="1" errorTitle="Ошибка" error="Выберите значение из списка" sqref="V983157:W983157 V65653:W65653 V131189:W131189 V196725:W196725 V262261:W262261 V327797:W327797 V393333:W393333 V458869:W458869 V524405:W524405 V589941:W589941 V655477:W655477 V721013:W721013 V786549:W786549 V852085:W852085 V917621:W917621 AD983157:AE983157 AD65653:AE65653 AD131189:AE131189 AD196725:AE196725 AD262261:AE262261 AD327797:AE327797 AD393333:AE393333 AD458869:AE458869 AD524405:AE524405 AD589941:AE589941 AD655477:AE655477 AD721013:AE721013 AD786549:AE786549 AD852085:AE852085 AD917621:AE917621">
      <formula1>kind_of_scheme_in</formula1>
    </dataValidation>
    <dataValidation allowBlank="1" sqref="S131193:BS131199 S196729:BS196735 S262265:BS262271 S327801:BS327807 S393337:BS393343 S458873:BS458879 S524409:BS524415 S589945:BS589951 S655481:BS655487 S721017:BS721023 S786553:BS786559 S852089:BS852095 S917625:BS917631 S983161:BS983167 S65657:BS65663"/>
    <dataValidation type="list" allowBlank="1" showInputMessage="1" errorTitle="Ошибка" error="Выберите значение из списка" prompt="Выберите значение из списка" sqref="V983158:BR983158 V65654:BR65654 V131190:BR131190 V196726:BR196726 V262262:BR262262 V327798:BR327798 V393334:BR393334 V458870:BR458870 V524406:BR524406 V589942:BR589942 V655478:BR655478 V721014:BR721014 V786550:BR786550 V852086:BR852086 V917622:BR91762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CDE4A6-7D1D-4DDD-C701-C51BE2FA784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62286" width="10.57421875" hidden="1"/>
    <col min="2" max="2" style="62286" width="11.00390625" hidden="1" customWidth="1"/>
    <col min="3" max="3" style="62286" width="10.57421875" hidden="1"/>
    <col min="4" max="4" style="62286" width="11.8515625" hidden="1" customWidth="1"/>
    <col min="5" max="5" style="62286" width="10.00390625" hidden="1" customWidth="1"/>
    <col min="6" max="6" style="62286" width="8.7109375" hidden="1" customWidth="1"/>
    <col min="7" max="7" style="62286" width="7.57421875" hidden="1" customWidth="1"/>
    <col min="8" max="8" style="62286" width="11.421875" hidden="1" customWidth="1"/>
    <col min="9" max="9" style="62286" width="12.00390625" hidden="1" customWidth="1"/>
    <col min="10" max="10" style="62286" width="9.8515625" hidden="1" customWidth="1"/>
    <col min="11" max="11" style="62286" width="11.421875" hidden="1" customWidth="1"/>
    <col min="12" max="12" style="63163" width="19.140625" hidden="1" customWidth="1"/>
    <col min="13" max="14" style="63184" width="12.28125" hidden="1" customWidth="1"/>
    <col min="15" max="15" style="63184" width="23.421875" hidden="1" customWidth="1"/>
    <col min="16" max="16" style="63184" width="3.00390625" customWidth="1"/>
    <col min="17" max="18" style="62288" width="3.00390625" customWidth="1"/>
    <col min="19" max="19" style="63156" width="12.00390625" customWidth="1"/>
    <col min="20" max="20" style="62286" width="31.00390625" customWidth="1"/>
    <col min="21" max="21" style="62286" width="0.140625" customWidth="1"/>
    <col min="22" max="22" style="62286" width="24.7109375" hidden="1" customWidth="1"/>
    <col min="23" max="23" style="62286" width="0.140625" hidden="1" customWidth="1"/>
    <col min="24" max="25" style="62286" width="24.7109375" hidden="1" customWidth="1"/>
    <col min="26" max="26" style="62286" width="11.7109375" hidden="1" customWidth="1"/>
    <col min="27" max="27" style="62286" width="3.7109375" hidden="1" customWidth="1"/>
    <col min="28" max="28" style="62286" width="11.7109375" hidden="1" customWidth="1"/>
    <col min="29" max="29" style="62286" width="8.57421875" hidden="1" customWidth="1"/>
    <col min="30" max="30" style="62286" width="24.7109375" customWidth="1"/>
    <col min="31" max="31" style="62286" width="0.140625" customWidth="1"/>
    <col min="32" max="33" style="62286" width="24.00390625" customWidth="1"/>
    <col min="34" max="34" style="62286" width="11.00390625" customWidth="1"/>
    <col min="35" max="35" style="62286" width="3.7109375" customWidth="1"/>
    <col min="36" max="36" style="62286" width="11.00390625" customWidth="1"/>
    <col min="37" max="37" style="62286" width="8.57421875" hidden="1" customWidth="1"/>
    <col min="38" max="38" style="62286" width="4.00390625" customWidth="1"/>
    <col min="39" max="39" style="62286" width="115.00390625" customWidth="1"/>
    <col min="40" max="44" style="61695" width="10.00390625" customWidth="1"/>
    <col min="45" max="45" style="62286" width="10.57421875" hidden="1"/>
  </cols>
  <sheetData>
    <row customHeight="1" ht="22.5" hidden="1">
      <c r="AS1" s="2323" t="s">
        <v>14</v>
      </c>
    </row>
    <row customHeight="1" ht="21" hidden="1">
      <c r="A2" s="1959"/>
      <c r="B2" s="1959"/>
      <c r="C2" s="1959"/>
      <c r="D2" s="1959"/>
      <c r="E2" s="2981">
        <v>1</v>
      </c>
      <c r="F2" s="1959"/>
      <c r="G2" s="1959"/>
      <c r="H2" s="1959"/>
      <c r="I2" s="1959"/>
      <c r="J2" s="1959"/>
      <c r="K2" s="1959"/>
      <c r="L2" s="2002"/>
      <c r="M2" s="2302"/>
      <c r="N2" s="2302"/>
      <c r="O2" s="2302"/>
      <c r="P2" s="2282"/>
      <c r="Q2" s="1052"/>
      <c r="R2" s="1047"/>
      <c r="S2" s="2650">
        <f>INDEX(PT_DIFFERENTIATION_NUM_NTAR,MATCH(A2,PT_DIFFERENTIATION_NTAR_ID,0))</f>
      </c>
      <c r="T2" s="2217" t="s">
        <v>131</v>
      </c>
      <c r="U2" s="992"/>
      <c r="V2" s="2934"/>
      <c r="W2" s="2935"/>
      <c r="X2" s="2935"/>
      <c r="Y2" s="2935"/>
      <c r="Z2" s="2935"/>
      <c r="AA2" s="2935"/>
      <c r="AB2" s="2935"/>
      <c r="AC2" s="2936"/>
      <c r="AD2" s="2934">
        <f>INDEX(PT_DIFFERENTIATION_NTAR,MATCH(A2,PT_DIFFERENTIATION_NTAR_ID,0))</f>
      </c>
      <c r="AE2" s="2935"/>
      <c r="AF2" s="2935"/>
      <c r="AG2" s="2935"/>
      <c r="AH2" s="2935"/>
      <c r="AI2" s="2935"/>
      <c r="AJ2" s="2935"/>
      <c r="AK2" s="2935"/>
      <c r="AL2" s="2936"/>
      <c r="AM2" s="1950" t="s">
        <v>471</v>
      </c>
      <c r="AO2" s="2316"/>
      <c r="AP2" s="2316" t="str">
        <f>IF(T2="","",T2)</f>
        <v>Наименование тарифа</v>
      </c>
      <c r="AQ2" s="2316"/>
      <c r="AR2" s="2316"/>
      <c r="AS2" s="2323">
        <v>0</v>
      </c>
    </row>
    <row customHeight="1" ht="21" hidden="1">
      <c r="A3" s="1959"/>
      <c r="B3" s="1959"/>
      <c r="C3" s="1959"/>
      <c r="D3" s="1959"/>
      <c r="E3" s="2982"/>
      <c r="F3" s="2981">
        <v>1</v>
      </c>
      <c r="G3" s="1959"/>
      <c r="H3" s="1959"/>
      <c r="I3" s="1959"/>
      <c r="J3" s="1959"/>
      <c r="K3" s="1959"/>
      <c r="L3" s="2002"/>
      <c r="M3" s="2302"/>
      <c r="N3" s="2302"/>
      <c r="O3" s="2302"/>
      <c r="P3" s="2632"/>
      <c r="Q3" s="1044"/>
      <c r="R3" s="1045"/>
      <c r="S3" s="2650">
        <f>INDEX(PT_DIFFERENTIATION_NUM_TER,MATCH(B3,PT_DIFFERENTIATION_TER_ID,0))</f>
      </c>
      <c r="T3" s="2214" t="s">
        <v>472</v>
      </c>
      <c r="U3" s="992"/>
      <c r="V3" s="2934"/>
      <c r="W3" s="2935"/>
      <c r="X3" s="2935"/>
      <c r="Y3" s="2935"/>
      <c r="Z3" s="2935"/>
      <c r="AA3" s="2935"/>
      <c r="AB3" s="2935"/>
      <c r="AC3" s="2936"/>
      <c r="AD3" s="2934">
        <f>INDEX(PT_DIFFERENTIATION_TER,MATCH(B3,PT_DIFFERENTIATION_TER_ID,0))</f>
      </c>
      <c r="AE3" s="2935"/>
      <c r="AF3" s="2935"/>
      <c r="AG3" s="2935"/>
      <c r="AH3" s="2935"/>
      <c r="AI3" s="2935"/>
      <c r="AJ3" s="2935"/>
      <c r="AK3" s="2935"/>
      <c r="AL3" s="2936"/>
      <c r="AM3" s="1950" t="s">
        <v>473</v>
      </c>
      <c r="AO3" s="2316"/>
      <c r="AP3" s="2316" t="str">
        <f>IF(T3="","",T3)</f>
        <v>Территория действия тарифа</v>
      </c>
      <c r="AQ3" s="2316"/>
      <c r="AR3" s="2316"/>
      <c r="AS3" s="2323">
        <v>0</v>
      </c>
    </row>
    <row customHeight="1" ht="23.25" hidden="1">
      <c r="A4" s="1959"/>
      <c r="B4" s="1959"/>
      <c r="C4" s="1959"/>
      <c r="D4" s="1959"/>
      <c r="E4" s="2982"/>
      <c r="F4" s="2982"/>
      <c r="G4" s="2981">
        <v>1</v>
      </c>
      <c r="H4" s="1959"/>
      <c r="I4" s="1959"/>
      <c r="J4" s="1959"/>
      <c r="K4" s="1959"/>
      <c r="L4" s="2002"/>
      <c r="M4" s="2302"/>
      <c r="N4" s="2302"/>
      <c r="O4" s="2302"/>
      <c r="P4" s="1046"/>
      <c r="Q4" s="1044"/>
      <c r="R4" s="1045"/>
      <c r="S4" s="2650">
        <f>INDEX(PT_DIFFERENTIATION_NUM_CS,MATCH(C4,PT_DIFFERENTIATION_CS_ID,0))</f>
      </c>
      <c r="T4" s="1001" t="s">
        <v>474</v>
      </c>
      <c r="U4" s="992"/>
      <c r="V4" s="2934"/>
      <c r="W4" s="2935"/>
      <c r="X4" s="2935"/>
      <c r="Y4" s="2935"/>
      <c r="Z4" s="2935"/>
      <c r="AA4" s="2935"/>
      <c r="AB4" s="2935"/>
      <c r="AC4" s="2936"/>
      <c r="AD4" s="2934">
        <f>INDEX(PT_DIFFERENTIATION_CS,MATCH(C4,PT_DIFFERENTIATION_CS_ID,0))</f>
      </c>
      <c r="AE4" s="2935"/>
      <c r="AF4" s="2935"/>
      <c r="AG4" s="2935"/>
      <c r="AH4" s="2935"/>
      <c r="AI4" s="2935"/>
      <c r="AJ4" s="2935"/>
      <c r="AK4" s="2935"/>
      <c r="AL4" s="2936"/>
      <c r="AM4" s="1950" t="s">
        <v>475</v>
      </c>
      <c r="AO4" s="2316"/>
      <c r="AP4" s="2316" t="str">
        <f>IF(T4="","",T4)</f>
        <v>Наименование системы теплоснабжения </v>
      </c>
      <c r="AQ4" s="2316"/>
      <c r="AR4" s="2316"/>
      <c r="AS4" s="2323">
        <v>0</v>
      </c>
    </row>
    <row customHeight="1" ht="21" hidden="1">
      <c r="A5" s="1959"/>
      <c r="B5" s="1959"/>
      <c r="C5" s="1959"/>
      <c r="D5" s="1959"/>
      <c r="E5" s="2982"/>
      <c r="F5" s="2982"/>
      <c r="G5" s="2982"/>
      <c r="H5" s="2981">
        <v>1</v>
      </c>
      <c r="I5" s="1959"/>
      <c r="J5" s="1959"/>
      <c r="K5" s="1959"/>
      <c r="L5" s="2002"/>
      <c r="M5" s="2302"/>
      <c r="N5" s="2302"/>
      <c r="O5" s="2302"/>
      <c r="P5" s="1046"/>
      <c r="Q5" s="1044"/>
      <c r="R5" s="1045"/>
      <c r="S5" s="2650">
        <f>INDEX(PT_DIFFERENTIATION_NUM_IST_TE,MATCH(D5,PT_DIFFERENTIATION_IST_TE_ID,0))</f>
      </c>
      <c r="T5" s="1002" t="s">
        <v>476</v>
      </c>
      <c r="U5" s="992"/>
      <c r="V5" s="2934"/>
      <c r="W5" s="2935"/>
      <c r="X5" s="2935"/>
      <c r="Y5" s="2935"/>
      <c r="Z5" s="2935"/>
      <c r="AA5" s="2935"/>
      <c r="AB5" s="2935"/>
      <c r="AC5" s="2936"/>
      <c r="AD5" s="2934">
        <f>INDEX(PT_DIFFERENTIATION_IST_TE,MATCH(D5,PT_DIFFERENTIATION_IST_TE_ID,0))</f>
      </c>
      <c r="AE5" s="2935"/>
      <c r="AF5" s="2935"/>
      <c r="AG5" s="2935"/>
      <c r="AH5" s="2935"/>
      <c r="AI5" s="2935"/>
      <c r="AJ5" s="2935"/>
      <c r="AK5" s="2935"/>
      <c r="AL5" s="2936"/>
      <c r="AM5" s="1950" t="s">
        <v>477</v>
      </c>
      <c r="AO5" s="2316"/>
      <c r="AP5" s="2316" t="str">
        <f>IF(T5="","",T5)</f>
        <v>Источник тепловой энергии  </v>
      </c>
      <c r="AQ5" s="2316"/>
      <c r="AR5" s="2316"/>
      <c r="AS5" s="2323">
        <v>0</v>
      </c>
    </row>
    <row customHeight="1" ht="47.25" hidden="1">
      <c r="A6" s="1959"/>
      <c r="B6" s="1959"/>
      <c r="C6" s="1959"/>
      <c r="D6" s="1959"/>
      <c r="E6" s="2982"/>
      <c r="F6" s="2982"/>
      <c r="G6" s="2982"/>
      <c r="H6" s="2982"/>
      <c r="I6" s="2819">
        <f>S5&amp;".1"</f>
      </c>
      <c r="J6" s="1959"/>
      <c r="K6" s="1959"/>
      <c r="L6" s="2002" t="s">
        <v>478</v>
      </c>
      <c r="M6" s="2327"/>
      <c r="P6" s="2949">
        <v>1</v>
      </c>
      <c r="Q6" s="2646"/>
      <c r="R6" s="1048"/>
      <c r="S6" s="2650">
        <f>$I6</f>
      </c>
      <c r="T6" s="977" t="s">
        <v>479</v>
      </c>
      <c r="U6" s="992"/>
      <c r="V6" s="2937"/>
      <c r="W6" s="2938"/>
      <c r="X6" s="2938"/>
      <c r="Y6" s="2938"/>
      <c r="Z6" s="2938"/>
      <c r="AA6" s="2938"/>
      <c r="AB6" s="2938"/>
      <c r="AC6" s="2939"/>
      <c r="AD6" s="2937"/>
      <c r="AE6" s="2938"/>
      <c r="AF6" s="2938"/>
      <c r="AG6" s="2938"/>
      <c r="AH6" s="2938"/>
      <c r="AI6" s="2938"/>
      <c r="AJ6" s="2938"/>
      <c r="AK6" s="2938"/>
      <c r="AL6" s="2939"/>
      <c r="AM6" s="1950" t="s">
        <v>480</v>
      </c>
      <c r="AO6" s="2316"/>
      <c r="AP6" s="2316" t="str">
        <f>IF(T6="","",T6)</f>
        <v>Схема подключения теплопотребляющей установки к коллектору источника тепловой энергии</v>
      </c>
      <c r="AQ6" s="2316"/>
      <c r="AR6" s="2316"/>
      <c r="AS6" s="2323">
        <v>0</v>
      </c>
    </row>
    <row customHeight="1" ht="21" hidden="1">
      <c r="A7" s="1959"/>
      <c r="B7" s="1959"/>
      <c r="C7" s="1959"/>
      <c r="D7" s="1959"/>
      <c r="E7" s="2982"/>
      <c r="F7" s="2982"/>
      <c r="G7" s="2982"/>
      <c r="H7" s="2982"/>
      <c r="I7" s="2793"/>
      <c r="J7" s="2819">
        <f>I6&amp;".1"</f>
      </c>
      <c r="K7" s="1959"/>
      <c r="L7" s="2002" t="s">
        <v>481</v>
      </c>
      <c r="M7" s="2327"/>
      <c r="N7" s="2323"/>
      <c r="P7" s="2949"/>
      <c r="Q7" s="2949">
        <v>1</v>
      </c>
      <c r="R7" s="1049"/>
      <c r="S7" s="2650">
        <f>$J7</f>
      </c>
      <c r="T7" s="978" t="s">
        <v>482</v>
      </c>
      <c r="U7" s="992"/>
      <c r="V7" s="2937"/>
      <c r="W7" s="2938"/>
      <c r="X7" s="2938"/>
      <c r="Y7" s="2938"/>
      <c r="Z7" s="2938"/>
      <c r="AA7" s="2938"/>
      <c r="AB7" s="2938"/>
      <c r="AC7" s="2939"/>
      <c r="AD7" s="2937"/>
      <c r="AE7" s="2938"/>
      <c r="AF7" s="2938"/>
      <c r="AG7" s="2938"/>
      <c r="AH7" s="2938"/>
      <c r="AI7" s="2938"/>
      <c r="AJ7" s="2938"/>
      <c r="AK7" s="2938"/>
      <c r="AL7" s="2939"/>
      <c r="AM7" s="1950" t="s">
        <v>483</v>
      </c>
      <c r="AO7" s="2316"/>
      <c r="AP7" s="2316" t="str">
        <f>IF(T7="","",T7)</f>
        <v>Группа потребителей</v>
      </c>
      <c r="AQ7" s="2316"/>
      <c r="AR7" s="2316"/>
      <c r="AS7" s="2323">
        <v>0</v>
      </c>
    </row>
    <row customHeight="1" ht="21" hidden="1">
      <c r="A8" s="1959"/>
      <c r="B8" s="1959"/>
      <c r="C8" s="1959"/>
      <c r="D8" s="1959"/>
      <c r="E8" s="2982"/>
      <c r="F8" s="2982"/>
      <c r="G8" s="2982"/>
      <c r="H8" s="2982"/>
      <c r="I8" s="2793"/>
      <c r="J8" s="2793"/>
      <c r="K8" s="2819">
        <f>J7&amp;".1"</f>
      </c>
      <c r="L8" s="2002" t="s">
        <v>484</v>
      </c>
      <c r="M8" s="2327"/>
      <c r="N8" s="2323"/>
      <c r="O8" s="2323"/>
      <c r="P8" s="2949"/>
      <c r="Q8" s="2949"/>
      <c r="R8" s="1049">
        <v>1</v>
      </c>
      <c r="S8" s="2650">
        <f>$K8</f>
      </c>
      <c r="T8" s="2039"/>
      <c r="U8" s="992"/>
      <c r="V8" s="1443"/>
      <c r="W8" s="1017"/>
      <c r="X8" s="1443"/>
      <c r="Y8" s="1949"/>
      <c r="Z8" s="2957"/>
      <c r="AA8" s="2799" t="s">
        <v>67</v>
      </c>
      <c r="AB8" s="2957"/>
      <c r="AC8" s="2799" t="s">
        <v>67</v>
      </c>
      <c r="AD8" s="1443"/>
      <c r="AE8" s="1017"/>
      <c r="AF8" s="1443"/>
      <c r="AG8" s="1949"/>
      <c r="AH8" s="2957"/>
      <c r="AI8" s="2799" t="s">
        <v>67</v>
      </c>
      <c r="AJ8" s="2957"/>
      <c r="AK8" s="2799" t="s">
        <v>67</v>
      </c>
      <c r="AL8" s="1017"/>
      <c r="AM8" s="2945" t="s">
        <v>485</v>
      </c>
      <c r="AN8" s="2328">
        <f>STRCHECKDATE(V9:AL9)</f>
      </c>
      <c r="AO8" s="2316"/>
      <c r="AP8" s="2316" t="str">
        <f>IF(T8="","",T8)</f>
        <v/>
      </c>
      <c r="AQ8" s="2316"/>
      <c r="AR8" s="2316"/>
      <c r="AS8" s="2323">
        <v>0</v>
      </c>
    </row>
    <row customHeight="1" ht="0.75" hidden="1">
      <c r="A9" s="1959"/>
      <c r="B9" s="1959"/>
      <c r="C9" s="1959"/>
      <c r="D9" s="1959"/>
      <c r="E9" s="2982"/>
      <c r="F9" s="2982"/>
      <c r="G9" s="2982"/>
      <c r="H9" s="2982"/>
      <c r="I9" s="2793"/>
      <c r="J9" s="2793"/>
      <c r="K9" s="2819"/>
      <c r="L9" s="2002"/>
      <c r="M9" s="2327"/>
      <c r="N9" s="2323"/>
      <c r="O9" s="2323"/>
      <c r="P9" s="2949"/>
      <c r="Q9" s="2949"/>
      <c r="R9" s="1049"/>
      <c r="S9" s="2659"/>
      <c r="T9" s="992"/>
      <c r="U9" s="992"/>
      <c r="V9" s="1017"/>
      <c r="W9" s="1017"/>
      <c r="X9" s="1017"/>
      <c r="Y9" s="1020" t="str">
        <f>Z8&amp;"-"&amp;AB8</f>
        <v>-</v>
      </c>
      <c r="Z9" s="2958"/>
      <c r="AA9" s="2799"/>
      <c r="AB9" s="2958"/>
      <c r="AC9" s="2799"/>
      <c r="AD9" s="1017"/>
      <c r="AE9" s="1017"/>
      <c r="AF9" s="1017"/>
      <c r="AG9" s="1020" t="str">
        <f>AH8&amp;"-"&amp;AJ8</f>
        <v>-</v>
      </c>
      <c r="AH9" s="2958"/>
      <c r="AI9" s="2799"/>
      <c r="AJ9" s="2958"/>
      <c r="AK9" s="2799"/>
      <c r="AL9" s="1017"/>
      <c r="AM9" s="2946"/>
      <c r="AO9" s="2316"/>
      <c r="AP9" s="2316" t="str">
        <f>IF(T9="","",T9)</f>
        <v/>
      </c>
      <c r="AQ9" s="2316"/>
      <c r="AR9" s="2316"/>
      <c r="AS9" s="2323">
        <v>0</v>
      </c>
    </row>
    <row customHeight="1" ht="15" hidden="1">
      <c r="A10" s="1959"/>
      <c r="B10" s="1959"/>
      <c r="C10" s="1959"/>
      <c r="D10" s="1959"/>
      <c r="E10" s="2982"/>
      <c r="F10" s="2982"/>
      <c r="G10" s="2982"/>
      <c r="H10" s="2982"/>
      <c r="I10" s="2793"/>
      <c r="J10" s="2819"/>
      <c r="K10" s="1959"/>
      <c r="L10" s="2002"/>
      <c r="M10" s="2327"/>
      <c r="N10" s="2323"/>
      <c r="P10" s="2949"/>
      <c r="Q10" s="2949"/>
      <c r="R10" s="1048"/>
      <c r="S10" s="1970"/>
      <c r="T10" s="980" t="s">
        <v>486</v>
      </c>
      <c r="U10" s="1292"/>
      <c r="V10" s="1292"/>
      <c r="W10" s="1292"/>
      <c r="X10" s="1292"/>
      <c r="Y10" s="1292"/>
      <c r="Z10" s="1292"/>
      <c r="AA10" s="1292"/>
      <c r="AB10" s="1292"/>
      <c r="AC10" s="1292"/>
      <c r="AD10" s="1292"/>
      <c r="AE10" s="1292"/>
      <c r="AF10" s="1292"/>
      <c r="AG10" s="1292"/>
      <c r="AH10" s="1292"/>
      <c r="AI10" s="1292"/>
      <c r="AJ10" s="1292"/>
      <c r="AK10" s="1292"/>
      <c r="AL10" s="1016"/>
      <c r="AM10" s="2947"/>
      <c r="AO10" s="2316"/>
      <c r="AP10" s="2316" t="str">
        <f>IF(T10="","",T10)</f>
        <v>Добавить вид теплоносителя (параметры теплоносителя)</v>
      </c>
      <c r="AQ10" s="2316"/>
      <c r="AR10" s="2316"/>
      <c r="AS10" s="2323">
        <v>0</v>
      </c>
    </row>
    <row customHeight="1" ht="15" hidden="1">
      <c r="A11" s="1959"/>
      <c r="B11" s="1959"/>
      <c r="C11" s="1959"/>
      <c r="D11" s="1959"/>
      <c r="E11" s="2982"/>
      <c r="F11" s="2982"/>
      <c r="G11" s="2982"/>
      <c r="H11" s="2982"/>
      <c r="I11" s="2819"/>
      <c r="J11" s="1959"/>
      <c r="K11" s="1959"/>
      <c r="L11" s="2002"/>
      <c r="M11" s="2327"/>
      <c r="P11" s="2949"/>
      <c r="Q11" s="2646"/>
      <c r="R11" s="1048"/>
      <c r="S11" s="1970"/>
      <c r="T11" s="979" t="s">
        <v>487</v>
      </c>
      <c r="U11" s="1292"/>
      <c r="V11" s="1292"/>
      <c r="W11" s="1292"/>
      <c r="X11" s="1292"/>
      <c r="Y11" s="1292"/>
      <c r="Z11" s="1292"/>
      <c r="AA11" s="1292"/>
      <c r="AB11" s="1292"/>
      <c r="AC11" s="1058"/>
      <c r="AD11" s="1292"/>
      <c r="AE11" s="1292"/>
      <c r="AF11" s="1292"/>
      <c r="AG11" s="1292"/>
      <c r="AH11" s="1292"/>
      <c r="AI11" s="1292"/>
      <c r="AJ11" s="1292"/>
      <c r="AK11" s="1058"/>
      <c r="AL11" s="1292"/>
      <c r="AM11" s="995"/>
      <c r="AO11" s="2316"/>
      <c r="AP11" s="2316" t="str">
        <f>IF(T11="","",T11)</f>
        <v>Добавить группу потребителей</v>
      </c>
      <c r="AQ11" s="2316"/>
      <c r="AR11" s="2316"/>
      <c r="AS11" s="2323">
        <v>0</v>
      </c>
    </row>
    <row customHeight="1" ht="14.25" hidden="1">
      <c r="A12" s="1959"/>
      <c r="B12" s="1959"/>
      <c r="C12" s="1959"/>
      <c r="D12" s="1959"/>
      <c r="E12" s="2982"/>
      <c r="F12" s="2982"/>
      <c r="G12" s="2982"/>
      <c r="H12" s="2981"/>
      <c r="I12" s="1959"/>
      <c r="J12" s="1959"/>
      <c r="K12" s="1959"/>
      <c r="L12" s="2002"/>
      <c r="M12" s="2302"/>
      <c r="N12" s="2302"/>
      <c r="O12" s="2327"/>
      <c r="P12" s="1052"/>
      <c r="Q12" s="1067"/>
      <c r="R12" s="1047"/>
      <c r="S12" s="1970"/>
      <c r="T12" s="1057" t="s">
        <v>488</v>
      </c>
      <c r="U12" s="1292"/>
      <c r="V12" s="1292"/>
      <c r="W12" s="1292"/>
      <c r="X12" s="1292"/>
      <c r="Y12" s="1292"/>
      <c r="Z12" s="1292"/>
      <c r="AA12" s="1292"/>
      <c r="AB12" s="1292"/>
      <c r="AC12" s="1058"/>
      <c r="AD12" s="1292"/>
      <c r="AE12" s="1292"/>
      <c r="AF12" s="1292"/>
      <c r="AG12" s="1292"/>
      <c r="AH12" s="1292"/>
      <c r="AI12" s="1292"/>
      <c r="AJ12" s="1292"/>
      <c r="AK12" s="1058"/>
      <c r="AL12" s="1292"/>
      <c r="AM12" s="995"/>
      <c r="AO12" s="2316"/>
      <c r="AP12" s="2316" t="str">
        <f>IF(T12="","",T12)</f>
        <v>Добавить схему подключения</v>
      </c>
      <c r="AQ12" s="2316"/>
      <c r="AR12" s="2316"/>
      <c r="AS12" s="2323">
        <v>0</v>
      </c>
    </row>
    <row s="61695" customFormat="1" customHeight="1" ht="0.75" hidden="1">
      <c r="A13" s="2066"/>
      <c r="B13" s="2066"/>
      <c r="C13" s="2066"/>
      <c r="D13" s="2066"/>
      <c r="E13" s="2982"/>
      <c r="F13" s="2982"/>
      <c r="G13" s="2981"/>
      <c r="H13" s="2066"/>
      <c r="I13" s="2066"/>
      <c r="J13" s="2066"/>
      <c r="K13" s="2066"/>
      <c r="L13" s="2069"/>
      <c r="M13" s="2070"/>
      <c r="N13" s="2070"/>
      <c r="O13" s="1043"/>
      <c r="P13" s="2008"/>
      <c r="Q13" s="2009"/>
      <c r="R13" s="2008"/>
      <c r="S13" s="2010"/>
      <c r="T13" s="2011" t="s">
        <v>171</v>
      </c>
      <c r="U13" s="2012"/>
      <c r="V13" s="2012"/>
      <c r="W13" s="2012"/>
      <c r="X13" s="2012"/>
      <c r="Y13" s="2012"/>
      <c r="Z13" s="2012"/>
      <c r="AA13" s="2012"/>
      <c r="AB13" s="2012"/>
      <c r="AC13" s="2012"/>
      <c r="AD13" s="2012"/>
      <c r="AE13" s="2012"/>
      <c r="AF13" s="2012"/>
      <c r="AG13" s="2012"/>
      <c r="AH13" s="2012"/>
      <c r="AI13" s="2012"/>
      <c r="AJ13" s="2012"/>
      <c r="AK13" s="2012"/>
      <c r="AL13" s="2012"/>
      <c r="AM13" s="2012"/>
      <c r="AO13" s="1943"/>
      <c r="AP13" s="1943" t="str">
        <f>IF(T13="","",T13)</f>
        <v>Добавить источник для дифференциации</v>
      </c>
      <c r="AQ13" s="1943"/>
      <c r="AR13" s="1943"/>
      <c r="AS13" s="2334">
        <v>0</v>
      </c>
    </row>
    <row s="61695" customFormat="1" customHeight="1" ht="0.75" hidden="1">
      <c r="A14" s="2066"/>
      <c r="B14" s="2066"/>
      <c r="C14" s="2066"/>
      <c r="D14" s="2066"/>
      <c r="E14" s="2982"/>
      <c r="F14" s="2981"/>
      <c r="G14" s="2066"/>
      <c r="H14" s="2066"/>
      <c r="I14" s="2066"/>
      <c r="J14" s="2066"/>
      <c r="K14" s="2066"/>
      <c r="L14" s="2069"/>
      <c r="M14" s="2071"/>
      <c r="N14" s="2071"/>
      <c r="O14" s="1043"/>
      <c r="P14" s="2008"/>
      <c r="Q14" s="2009"/>
      <c r="R14" s="2008"/>
      <c r="S14" s="2014"/>
      <c r="T14" s="2015" t="s">
        <v>172</v>
      </c>
      <c r="U14" s="2016"/>
      <c r="V14" s="2016"/>
      <c r="W14" s="2016"/>
      <c r="X14" s="2016"/>
      <c r="Y14" s="2016"/>
      <c r="Z14" s="2016"/>
      <c r="AA14" s="2016"/>
      <c r="AB14" s="2016"/>
      <c r="AC14" s="2016"/>
      <c r="AD14" s="2016"/>
      <c r="AE14" s="2016"/>
      <c r="AF14" s="2016"/>
      <c r="AG14" s="2016"/>
      <c r="AH14" s="2016"/>
      <c r="AI14" s="2016"/>
      <c r="AJ14" s="2016"/>
      <c r="AK14" s="2016"/>
      <c r="AL14" s="2016"/>
      <c r="AM14" s="2016"/>
      <c r="AO14" s="1943"/>
      <c r="AP14" s="1943" t="str">
        <f>IF(T14="","",T14)</f>
        <v>Добавить централизованную систему для дифференциации</v>
      </c>
      <c r="AQ14" s="1943"/>
      <c r="AR14" s="1943"/>
      <c r="AS14" s="2334">
        <v>0</v>
      </c>
    </row>
    <row s="61695" customFormat="1" customHeight="1" ht="0.75" hidden="1">
      <c r="A15" s="2066"/>
      <c r="B15" s="2066"/>
      <c r="C15" s="2066"/>
      <c r="D15" s="2066"/>
      <c r="E15" s="2981"/>
      <c r="F15" s="2066"/>
      <c r="G15" s="2066"/>
      <c r="H15" s="2066"/>
      <c r="I15" s="2066"/>
      <c r="J15" s="2066"/>
      <c r="K15" s="2066"/>
      <c r="L15" s="2069"/>
      <c r="M15" s="2071"/>
      <c r="N15" s="2071"/>
      <c r="O15" s="1043"/>
      <c r="P15" s="2008"/>
      <c r="Q15" s="2009"/>
      <c r="R15" s="2008"/>
      <c r="S15" s="2014"/>
      <c r="T15" s="2017" t="s">
        <v>173</v>
      </c>
      <c r="U15" s="2016"/>
      <c r="V15" s="2016"/>
      <c r="W15" s="2016"/>
      <c r="X15" s="2016"/>
      <c r="Y15" s="2016"/>
      <c r="Z15" s="2016"/>
      <c r="AA15" s="2016"/>
      <c r="AB15" s="2016"/>
      <c r="AC15" s="2016"/>
      <c r="AD15" s="2016"/>
      <c r="AE15" s="2016"/>
      <c r="AF15" s="2016"/>
      <c r="AG15" s="2016"/>
      <c r="AH15" s="2016"/>
      <c r="AI15" s="2016"/>
      <c r="AJ15" s="2016"/>
      <c r="AK15" s="2016"/>
      <c r="AL15" s="2016"/>
      <c r="AM15" s="2016"/>
      <c r="AO15" s="1943"/>
      <c r="AP15" s="1943" t="str">
        <f>IF(T15="","",T15)</f>
        <v>Добавить территорию для дифференциации</v>
      </c>
      <c r="AQ15" s="1943"/>
      <c r="AR15" s="1943"/>
      <c r="AS15" s="2334">
        <v>0</v>
      </c>
    </row>
    <row customHeight="1" ht="14.25" hidden="1">
      <c r="AS16" s="2323">
        <v>0</v>
      </c>
    </row>
    <row customHeight="1" ht="14.25" hidden="1">
      <c r="AD17" s="2052"/>
      <c r="AE17" s="2052"/>
      <c r="AF17" s="2052"/>
      <c r="AG17" s="2053"/>
      <c r="AH17" s="2959"/>
      <c r="AI17" s="2960" t="s">
        <v>67</v>
      </c>
      <c r="AJ17" s="2959"/>
      <c r="AK17" s="2960" t="s">
        <v>67</v>
      </c>
      <c r="AS17" s="2323">
        <v>0</v>
      </c>
    </row>
    <row customHeight="1" ht="14.25" hidden="1">
      <c r="AD18" s="2052"/>
      <c r="AE18" s="2052"/>
      <c r="AF18" s="2052"/>
      <c r="AG18" s="1020" t="str">
        <f>AH17&amp;"-"&amp;AJ17</f>
        <v>-</v>
      </c>
      <c r="AH18" s="2960"/>
      <c r="AI18" s="2960"/>
      <c r="AJ18" s="2960"/>
      <c r="AK18" s="2960"/>
      <c r="AS18" s="2323">
        <v>0</v>
      </c>
    </row>
    <row customHeight="1" ht="14.25" hidden="1">
      <c r="AS19" s="2323">
        <v>0</v>
      </c>
    </row>
    <row s="62148" customFormat="1" customHeight="1" ht="14.25" hidden="1">
      <c r="A20" s="2323"/>
      <c r="B20" s="2323"/>
      <c r="C20" s="2323"/>
      <c r="D20" s="2323"/>
      <c r="E20" s="2323"/>
      <c r="F20" s="2323"/>
      <c r="G20" s="2323"/>
      <c r="H20" s="2323"/>
      <c r="I20" s="2323"/>
      <c r="J20" s="2323"/>
      <c r="K20" s="2323"/>
      <c r="L20" s="2631"/>
      <c r="M20" s="2657"/>
      <c r="N20" s="2657"/>
      <c r="O20" s="2037" t="s">
        <v>489</v>
      </c>
      <c r="P20" s="2054"/>
      <c r="Q20" s="2063"/>
      <c r="R20" s="2063"/>
      <c r="S20" s="1421"/>
      <c r="Z20" s="2059"/>
      <c r="AB20" s="2059"/>
      <c r="AH20" s="2059"/>
      <c r="AJ20" s="2059"/>
      <c r="AN20" s="2328"/>
      <c r="AO20" s="2328"/>
      <c r="AP20" s="2328"/>
      <c r="AQ20" s="2328"/>
      <c r="AR20" s="2328"/>
      <c r="AS20" s="2058">
        <v>0</v>
      </c>
    </row>
    <row s="62148" customFormat="1" customHeight="1" ht="14.25" hidden="1">
      <c r="A21" s="2323"/>
      <c r="B21" s="2323"/>
      <c r="C21" s="2323"/>
      <c r="D21" s="2323"/>
      <c r="E21" s="2323"/>
      <c r="F21" s="2323"/>
      <c r="G21" s="2323"/>
      <c r="H21" s="2323"/>
      <c r="I21" s="2323"/>
      <c r="J21" s="2323"/>
      <c r="K21" s="2323"/>
      <c r="L21" s="2631"/>
      <c r="M21" s="2657"/>
      <c r="N21" s="2657"/>
      <c r="O21" s="2657"/>
      <c r="P21" s="2054"/>
      <c r="Q21" s="2063"/>
      <c r="R21" s="2063"/>
      <c r="S21" s="1421"/>
      <c r="AN21" s="2328"/>
      <c r="AO21" s="2328"/>
      <c r="AP21" s="2328"/>
      <c r="AQ21" s="2328"/>
      <c r="AR21" s="2328"/>
      <c r="AS21" s="2058">
        <v>0</v>
      </c>
    </row>
    <row s="62148" customFormat="1" customHeight="1" ht="14.25" hidden="1">
      <c r="A22" s="2323"/>
      <c r="B22" s="2323"/>
      <c r="C22" s="2323"/>
      <c r="D22" s="2323"/>
      <c r="E22" s="2323"/>
      <c r="F22" s="2323"/>
      <c r="G22" s="2323"/>
      <c r="H22" s="2323"/>
      <c r="I22" s="2323"/>
      <c r="J22" s="2323"/>
      <c r="K22" s="2323"/>
      <c r="L22" s="2631"/>
      <c r="M22" s="2657"/>
      <c r="N22" s="2657"/>
      <c r="O22" s="2002" t="s">
        <v>490</v>
      </c>
      <c r="P22" s="2054"/>
      <c r="Q22" s="2063"/>
      <c r="R22" s="2063"/>
      <c r="S22" s="1421"/>
      <c r="T22" s="2058" t="s">
        <v>491</v>
      </c>
      <c r="AA22" s="1287" t="s">
        <v>492</v>
      </c>
      <c r="AC22" s="1287" t="s">
        <v>493</v>
      </c>
      <c r="AD22" s="2058" t="s">
        <v>491</v>
      </c>
      <c r="AI22" s="1287" t="s">
        <v>494</v>
      </c>
      <c r="AK22" s="1287" t="s">
        <v>493</v>
      </c>
      <c r="AN22" s="2328"/>
      <c r="AO22" s="2328"/>
      <c r="AP22" s="2328"/>
      <c r="AQ22" s="2328"/>
      <c r="AR22" s="2328"/>
      <c r="AS22" s="2058">
        <v>0</v>
      </c>
    </row>
    <row customHeight="1" ht="14.25" hidden="1">
      <c r="O23" s="2002"/>
      <c r="AS23" s="2323">
        <v>0</v>
      </c>
    </row>
    <row customHeight="1" ht="14.25" hidden="1">
      <c r="O24" s="2002"/>
      <c r="AS24" s="2323">
        <v>0</v>
      </c>
    </row>
    <row customHeight="1" ht="14.699999999999998">
      <c r="Q25" s="1068"/>
      <c r="R25" s="1068"/>
      <c r="S25" s="1967"/>
      <c r="T25" s="1149"/>
      <c r="U25" s="1149"/>
      <c r="V25" s="2327"/>
      <c r="W25" s="2327"/>
      <c r="X25" s="2327"/>
      <c r="Y25" s="2327"/>
      <c r="Z25" s="2327"/>
      <c r="AA25" s="2327"/>
      <c r="AB25" s="2327"/>
      <c r="AC25" s="2327"/>
      <c r="AD25" s="2327"/>
      <c r="AE25" s="2327"/>
      <c r="AF25" s="2327"/>
      <c r="AG25" s="2327"/>
      <c r="AH25" s="2327"/>
      <c r="AI25" s="2327"/>
      <c r="AJ25" s="2327"/>
      <c r="AK25" s="2327"/>
      <c r="AS25" s="2323">
        <v>14</v>
      </c>
    </row>
    <row customHeight="1" ht="14.699999999999998">
      <c r="Q26" s="1068"/>
      <c r="R26" s="1068"/>
      <c r="S26" s="294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40"/>
      <c r="U26" s="2940"/>
      <c r="V26" s="2940"/>
      <c r="W26" s="2940"/>
      <c r="X26" s="2940"/>
      <c r="Y26" s="2940"/>
      <c r="Z26" s="2940"/>
      <c r="AA26" s="2940"/>
      <c r="AB26" s="2940"/>
      <c r="AC26" s="2940"/>
      <c r="AD26" s="2940"/>
      <c r="AE26" s="2940"/>
      <c r="AF26" s="2940"/>
      <c r="AG26" s="2940"/>
      <c r="AH26" s="2940"/>
      <c r="AI26" s="2940"/>
      <c r="AJ26" s="2940"/>
      <c r="AK26" s="1935"/>
      <c r="AS26" s="2323">
        <v>14</v>
      </c>
    </row>
    <row customHeight="1" ht="14.699999999999998">
      <c r="Q27" s="1068"/>
      <c r="R27" s="1068"/>
      <c r="S27" s="2941" t="str">
        <f>IF(org=0,"Не определено",org)</f>
        <v>АО "ДГК"</v>
      </c>
      <c r="T27" s="2941"/>
      <c r="U27" s="2941"/>
      <c r="V27" s="2941"/>
      <c r="W27" s="2941"/>
      <c r="X27" s="2941"/>
      <c r="Y27" s="2941"/>
      <c r="Z27" s="2941"/>
      <c r="AA27" s="2941"/>
      <c r="AB27" s="2941"/>
      <c r="AC27" s="2941"/>
      <c r="AD27" s="2941"/>
      <c r="AE27" s="2941"/>
      <c r="AF27" s="2941"/>
      <c r="AG27" s="2941"/>
      <c r="AH27" s="2941"/>
      <c r="AI27" s="2941"/>
      <c r="AJ27" s="2941"/>
      <c r="AK27" s="1935"/>
      <c r="AS27" s="2323">
        <v>14</v>
      </c>
    </row>
    <row customHeight="1" ht="14.25" hidden="1">
      <c r="Q28" s="1068"/>
      <c r="R28" s="1068"/>
      <c r="S28" s="1967"/>
      <c r="T28" s="1149"/>
      <c r="U28" s="1149"/>
      <c r="V28" s="1014"/>
      <c r="W28" s="1014"/>
      <c r="X28" s="1014"/>
      <c r="Y28" s="1014"/>
      <c r="Z28" s="1014"/>
      <c r="AA28" s="1014"/>
      <c r="AB28" s="1014"/>
      <c r="AC28" s="1014"/>
      <c r="AD28" s="1014"/>
      <c r="AE28" s="1014"/>
      <c r="AF28" s="1014"/>
      <c r="AG28" s="1014"/>
      <c r="AH28" s="1014"/>
      <c r="AI28" s="1014"/>
      <c r="AJ28" s="1014"/>
      <c r="AK28" s="1014"/>
      <c r="AL28" s="2327"/>
      <c r="AS28" s="2323">
        <v>0</v>
      </c>
    </row>
    <row s="63055" customFormat="1" customHeight="1" ht="25.5" hidden="1">
      <c r="A29" s="1940"/>
      <c r="B29" s="1940"/>
      <c r="C29" s="1940"/>
      <c r="D29" s="1940"/>
      <c r="E29" s="1940"/>
      <c r="F29" s="1940"/>
      <c r="G29" s="1940"/>
      <c r="H29" s="1940"/>
      <c r="I29" s="1940"/>
      <c r="J29" s="1940"/>
      <c r="K29" s="1940"/>
      <c r="L29" s="2072"/>
      <c r="M29" s="1940"/>
      <c r="N29" s="1940"/>
      <c r="O29" s="1940"/>
      <c r="S29" s="2942" t="s">
        <v>42</v>
      </c>
      <c r="T29" s="2942"/>
      <c r="U29" s="2064"/>
      <c r="V29" s="2943" t="str">
        <f>IF(TITLE_NAME_OR_PR_CHANGE="",IF(TITLE_NAME_OR_PR="","",TITLE_NAME_OR_PR),TITLE_NAME_OR_PR_CHANGE)</f>
        <v/>
      </c>
      <c r="W29" s="2943"/>
      <c r="X29" s="2943"/>
      <c r="Y29" s="2943"/>
      <c r="Z29" s="2943"/>
      <c r="AA29" s="2943"/>
      <c r="AB29" s="2943"/>
      <c r="AC29" s="2327"/>
      <c r="AD29" s="2943" t="str">
        <f>IF(TITLE_NAME_OR_PR_CHANGE="",IF(TITLE_NAME_OR_PR="","",TITLE_NAME_OR_PR),TITLE_NAME_OR_PR_CHANGE)</f>
        <v/>
      </c>
      <c r="AE29" s="2943"/>
      <c r="AF29" s="2943"/>
      <c r="AG29" s="2943"/>
      <c r="AH29" s="2943"/>
      <c r="AI29" s="2943"/>
      <c r="AJ29" s="2943"/>
      <c r="AK29" s="2327"/>
      <c r="AL29" s="2327"/>
      <c r="AM29" s="972"/>
      <c r="AN29" s="1060"/>
      <c r="AO29" s="1060"/>
      <c r="AP29" s="1060"/>
      <c r="AQ29" s="1060"/>
      <c r="AR29" s="1060"/>
      <c r="AS29" s="1110">
        <v>0</v>
      </c>
    </row>
    <row s="63055" customFormat="1" customHeight="1" ht="18.75" hidden="1">
      <c r="A30" s="1940"/>
      <c r="B30" s="1940"/>
      <c r="C30" s="1940"/>
      <c r="D30" s="1940"/>
      <c r="E30" s="1940"/>
      <c r="F30" s="1940"/>
      <c r="G30" s="1940"/>
      <c r="H30" s="1940"/>
      <c r="I30" s="1940"/>
      <c r="J30" s="1940"/>
      <c r="K30" s="1940"/>
      <c r="L30" s="2072"/>
      <c r="M30" s="1940"/>
      <c r="N30" s="1940"/>
      <c r="O30" s="1940"/>
      <c r="S30" s="2942" t="s">
        <v>495</v>
      </c>
      <c r="T30" s="2942"/>
      <c r="U30" s="2064"/>
      <c r="V30" s="2956" t="str">
        <f>IF(TITLE_DATE_PR_CHANGE="",IF(TITLE_DATE_PR="","",TITLE_DATE_PR),TITLE_DATE_PR_CHANGE)</f>
        <v>45981</v>
      </c>
      <c r="W30" s="2956"/>
      <c r="X30" s="2956"/>
      <c r="Y30" s="2956"/>
      <c r="Z30" s="2956"/>
      <c r="AA30" s="2956"/>
      <c r="AB30" s="2956"/>
      <c r="AC30" s="2327"/>
      <c r="AD30" s="2956" t="str">
        <f>IF(TITLE_DATE_PR_CHANGE="",IF(TITLE_DATE_PR="","",TITLE_DATE_PR),TITLE_DATE_PR_CHANGE)</f>
        <v>45981</v>
      </c>
      <c r="AE30" s="2956"/>
      <c r="AF30" s="2956"/>
      <c r="AG30" s="2956"/>
      <c r="AH30" s="2956"/>
      <c r="AI30" s="2956"/>
      <c r="AJ30" s="2956"/>
      <c r="AK30" s="2327"/>
      <c r="AL30" s="2327"/>
      <c r="AM30" s="972"/>
      <c r="AN30" s="1060"/>
      <c r="AO30" s="1060"/>
      <c r="AP30" s="1060"/>
      <c r="AQ30" s="1060"/>
      <c r="AR30" s="1060"/>
      <c r="AS30" s="1110">
        <v>0</v>
      </c>
    </row>
    <row s="63055" customFormat="1" customHeight="1" ht="18.75" hidden="1">
      <c r="A31" s="1940"/>
      <c r="B31" s="1940"/>
      <c r="C31" s="1940"/>
      <c r="D31" s="1940"/>
      <c r="E31" s="1940"/>
      <c r="F31" s="1940"/>
      <c r="G31" s="1940"/>
      <c r="H31" s="1940"/>
      <c r="I31" s="1940"/>
      <c r="J31" s="1940"/>
      <c r="K31" s="1940"/>
      <c r="L31" s="2072"/>
      <c r="M31" s="1940"/>
      <c r="N31" s="1940"/>
      <c r="O31" s="1940"/>
      <c r="S31" s="2942" t="s">
        <v>496</v>
      </c>
      <c r="T31" s="2942"/>
      <c r="U31" s="2064"/>
      <c r="V31" s="2943" t="str">
        <f>IF(TITLE_NUMBER_PR_CHANGE="",IF(TITLE_NUMBER_PR="","",TITLE_NUMBER_PR),TITLE_NUMBER_PR_CHANGE)</f>
        <v>Исх-260/1781</v>
      </c>
      <c r="W31" s="2943"/>
      <c r="X31" s="2943"/>
      <c r="Y31" s="2943"/>
      <c r="Z31" s="2943"/>
      <c r="AA31" s="2943"/>
      <c r="AB31" s="2943"/>
      <c r="AC31" s="2327"/>
      <c r="AD31" s="2943" t="str">
        <f>IF(TITLE_NUMBER_PR_CHANGE="",IF(TITLE_NUMBER_PR="","",TITLE_NUMBER_PR),TITLE_NUMBER_PR_CHANGE)</f>
        <v>Исх-260/1781</v>
      </c>
      <c r="AE31" s="2943"/>
      <c r="AF31" s="2943"/>
      <c r="AG31" s="2943"/>
      <c r="AH31" s="2943"/>
      <c r="AI31" s="2943"/>
      <c r="AJ31" s="2943"/>
      <c r="AK31" s="2327"/>
      <c r="AL31" s="2327"/>
      <c r="AM31" s="972"/>
      <c r="AN31" s="1060"/>
      <c r="AO31" s="1060"/>
      <c r="AP31" s="1060"/>
      <c r="AQ31" s="1060"/>
      <c r="AR31" s="1060"/>
      <c r="AS31" s="1110">
        <v>0</v>
      </c>
    </row>
    <row s="63055" customFormat="1" customHeight="1" ht="18.75" hidden="1">
      <c r="A32" s="1940"/>
      <c r="B32" s="1940"/>
      <c r="C32" s="1940"/>
      <c r="D32" s="1940"/>
      <c r="E32" s="1940"/>
      <c r="F32" s="1940"/>
      <c r="G32" s="1940"/>
      <c r="H32" s="1940"/>
      <c r="I32" s="1940"/>
      <c r="J32" s="1940"/>
      <c r="K32" s="1940"/>
      <c r="L32" s="2072"/>
      <c r="M32" s="1940"/>
      <c r="N32" s="1940"/>
      <c r="O32" s="1940"/>
      <c r="S32" s="2942" t="s">
        <v>43</v>
      </c>
      <c r="T32" s="2942"/>
      <c r="U32" s="2064"/>
      <c r="V32" s="2943" t="str">
        <f>IF(TITLE_IST_PUB_CHANGE="",IF(TITLE_IST_PUB="","",TITLE_IST_PUB),TITLE_IST_PUB_CHANGE)</f>
        <v/>
      </c>
      <c r="W32" s="2943"/>
      <c r="X32" s="2943"/>
      <c r="Y32" s="2943"/>
      <c r="Z32" s="2943"/>
      <c r="AA32" s="2943"/>
      <c r="AB32" s="2943"/>
      <c r="AC32" s="2327"/>
      <c r="AD32" s="2943" t="str">
        <f>IF(TITLE_IST_PUB_CHANGE="",IF(TITLE_IST_PUB="","",TITLE_IST_PUB),TITLE_IST_PUB_CHANGE)</f>
        <v/>
      </c>
      <c r="AE32" s="2943"/>
      <c r="AF32" s="2943"/>
      <c r="AG32" s="2943"/>
      <c r="AH32" s="2943"/>
      <c r="AI32" s="2943"/>
      <c r="AJ32" s="2943"/>
      <c r="AK32" s="2327"/>
      <c r="AL32" s="2327"/>
      <c r="AM32" s="972"/>
      <c r="AN32" s="1060"/>
      <c r="AO32" s="1060"/>
      <c r="AP32" s="1060"/>
      <c r="AQ32" s="1060"/>
      <c r="AR32" s="1060"/>
      <c r="AS32" s="1110">
        <v>0</v>
      </c>
    </row>
    <row customHeight="1" ht="14.25" hidden="1">
      <c r="Q33" s="1068"/>
      <c r="R33" s="1068"/>
      <c r="S33" s="1967"/>
      <c r="T33" s="1149"/>
      <c r="U33" s="1149"/>
      <c r="V33" s="1014"/>
      <c r="W33" s="1014"/>
      <c r="X33" s="1014"/>
      <c r="Y33" s="1014"/>
      <c r="Z33" s="1014"/>
      <c r="AA33" s="1014"/>
      <c r="AB33" s="1014"/>
      <c r="AC33" s="1014"/>
      <c r="AD33" s="1014"/>
      <c r="AE33" s="1014"/>
      <c r="AF33" s="1014"/>
      <c r="AG33" s="1014"/>
      <c r="AH33" s="1014"/>
      <c r="AI33" s="1014"/>
      <c r="AJ33" s="1014"/>
      <c r="AK33" s="1014"/>
      <c r="AL33" s="2327"/>
      <c r="AS33" s="2323">
        <v>0</v>
      </c>
    </row>
    <row s="63055" customFormat="1" customHeight="1" ht="18.75" hidden="1">
      <c r="A34" s="1940"/>
      <c r="B34" s="1940"/>
      <c r="C34" s="1940"/>
      <c r="D34" s="1940"/>
      <c r="E34" s="1940"/>
      <c r="F34" s="1940"/>
      <c r="G34" s="1940"/>
      <c r="H34" s="1940"/>
      <c r="I34" s="1940"/>
      <c r="J34" s="1940"/>
      <c r="K34" s="1940"/>
      <c r="L34" s="2072"/>
      <c r="M34" s="1940"/>
      <c r="N34" s="1940"/>
      <c r="O34" s="1940"/>
      <c r="S34" s="2942" t="s">
        <v>497</v>
      </c>
      <c r="T34" s="2942"/>
      <c r="U34" s="2064"/>
      <c r="V34" s="2956" t="str">
        <f>IF(TITLE_DATE_PR_CHANGE="",IF(TITLE_DATE_PR="","",TITLE_DATE_PR),TITLE_DATE_PR_CHANGE)</f>
        <v>45981</v>
      </c>
      <c r="W34" s="2956"/>
      <c r="X34" s="2956"/>
      <c r="Y34" s="2956"/>
      <c r="Z34" s="2956"/>
      <c r="AA34" s="2956"/>
      <c r="AB34" s="2956"/>
      <c r="AC34" s="2327"/>
      <c r="AD34" s="2956" t="str">
        <f>IF(TITLE_DATE_PR_CHANGE="",IF(TITLE_DATE_PR="","",TITLE_DATE_PR),TITLE_DATE_PR_CHANGE)</f>
        <v>45981</v>
      </c>
      <c r="AE34" s="2956"/>
      <c r="AF34" s="2956"/>
      <c r="AG34" s="2956"/>
      <c r="AH34" s="2956"/>
      <c r="AI34" s="2956"/>
      <c r="AJ34" s="2956"/>
      <c r="AK34" s="2327"/>
      <c r="AL34" s="2327"/>
      <c r="AM34" s="972"/>
      <c r="AN34" s="1060"/>
      <c r="AO34" s="1060"/>
      <c r="AP34" s="1060"/>
      <c r="AQ34" s="1060"/>
      <c r="AR34" s="1060"/>
      <c r="AS34" s="1110">
        <v>0</v>
      </c>
    </row>
    <row s="63055" customFormat="1" customHeight="1" ht="18.75" hidden="1">
      <c r="A35" s="1940"/>
      <c r="B35" s="1940"/>
      <c r="C35" s="1940"/>
      <c r="D35" s="1940"/>
      <c r="E35" s="1940"/>
      <c r="F35" s="1940"/>
      <c r="G35" s="1940"/>
      <c r="H35" s="1940"/>
      <c r="I35" s="1940"/>
      <c r="J35" s="1940"/>
      <c r="K35" s="1940"/>
      <c r="L35" s="2072"/>
      <c r="M35" s="1940"/>
      <c r="N35" s="1940"/>
      <c r="O35" s="1940"/>
      <c r="S35" s="2942" t="s">
        <v>498</v>
      </c>
      <c r="T35" s="2942"/>
      <c r="U35" s="2064"/>
      <c r="V35" s="2943" t="str">
        <f>IF(TITLE_NUMBER_PR_CHANGE="",IF(TITLE_NUMBER_PR="","",TITLE_NUMBER_PR),TITLE_NUMBER_PR_CHANGE)</f>
        <v>Исх-260/1781</v>
      </c>
      <c r="W35" s="2943"/>
      <c r="X35" s="2943"/>
      <c r="Y35" s="2943"/>
      <c r="Z35" s="2943"/>
      <c r="AA35" s="2943"/>
      <c r="AB35" s="2943"/>
      <c r="AC35" s="2327"/>
      <c r="AD35" s="2943" t="str">
        <f>IF(TITLE_NUMBER_PR_CHANGE="",IF(TITLE_NUMBER_PR="","",TITLE_NUMBER_PR),TITLE_NUMBER_PR_CHANGE)</f>
        <v>Исх-260/1781</v>
      </c>
      <c r="AE35" s="2943"/>
      <c r="AF35" s="2943"/>
      <c r="AG35" s="2943"/>
      <c r="AH35" s="2943"/>
      <c r="AI35" s="2943"/>
      <c r="AJ35" s="2943"/>
      <c r="AK35" s="2327"/>
      <c r="AL35" s="2327"/>
      <c r="AM35" s="972"/>
      <c r="AN35" s="1060"/>
      <c r="AO35" s="1060"/>
      <c r="AP35" s="1060"/>
      <c r="AQ35" s="1060"/>
      <c r="AR35" s="1060"/>
      <c r="AS35" s="1110">
        <v>0</v>
      </c>
    </row>
    <row s="63055" customFormat="1" customHeight="1" ht="0">
      <c r="A36" s="1940"/>
      <c r="B36" s="1940"/>
      <c r="C36" s="1940"/>
      <c r="D36" s="1940"/>
      <c r="E36" s="1940"/>
      <c r="F36" s="1940"/>
      <c r="G36" s="1940"/>
      <c r="H36" s="1940"/>
      <c r="I36" s="1940"/>
      <c r="J36" s="1940"/>
      <c r="K36" s="1940"/>
      <c r="L36" s="2072"/>
      <c r="M36" s="1940"/>
      <c r="N36" s="1940"/>
      <c r="O36" s="1940"/>
      <c r="S36" s="2327"/>
      <c r="T36" s="2327"/>
      <c r="U36" s="2662"/>
      <c r="V36" s="2327"/>
      <c r="W36" s="2327"/>
      <c r="X36" s="2327"/>
      <c r="Y36" s="2327"/>
      <c r="Z36" s="2327"/>
      <c r="AA36" s="2327"/>
      <c r="AB36" s="2327"/>
      <c r="AC36" s="2334" t="s">
        <v>499</v>
      </c>
      <c r="AD36" s="2327"/>
      <c r="AE36" s="2327"/>
      <c r="AF36" s="2327"/>
      <c r="AG36" s="2327"/>
      <c r="AH36" s="2327"/>
      <c r="AI36" s="2327"/>
      <c r="AJ36" s="2327"/>
      <c r="AK36" s="2334" t="s">
        <v>499</v>
      </c>
      <c r="AN36" s="1060"/>
      <c r="AO36" s="1060"/>
      <c r="AP36" s="1060"/>
      <c r="AQ36" s="1060"/>
      <c r="AR36" s="1060"/>
      <c r="AS36" s="1110">
        <v>0</v>
      </c>
    </row>
    <row customHeight="1" ht="14.699999999999998">
      <c r="Q37" s="1068"/>
      <c r="R37" s="1068"/>
      <c r="S37" s="1967"/>
      <c r="T37" s="1149"/>
      <c r="U37" s="1936"/>
      <c r="V37" s="2944"/>
      <c r="W37" s="2944"/>
      <c r="X37" s="2944"/>
      <c r="Y37" s="2944"/>
      <c r="Z37" s="2944"/>
      <c r="AA37" s="2944"/>
      <c r="AB37" s="2944"/>
      <c r="AC37" s="2944"/>
      <c r="AD37" s="2944"/>
      <c r="AE37" s="2944"/>
      <c r="AF37" s="2944"/>
      <c r="AG37" s="2944"/>
      <c r="AH37" s="2944"/>
      <c r="AI37" s="2944"/>
      <c r="AJ37" s="2944"/>
      <c r="AK37" s="2944"/>
      <c r="AS37" s="2323">
        <v>14</v>
      </c>
    </row>
    <row customHeight="1" ht="14.699999999999998">
      <c r="Q38" s="1068"/>
      <c r="R38" s="1068"/>
      <c r="S38" s="2819" t="s">
        <v>375</v>
      </c>
      <c r="T38" s="2819"/>
      <c r="U38" s="2819"/>
      <c r="V38" s="2819"/>
      <c r="W38" s="2819"/>
      <c r="X38" s="2819"/>
      <c r="Y38" s="2819"/>
      <c r="Z38" s="2819"/>
      <c r="AA38" s="2819"/>
      <c r="AB38" s="2819"/>
      <c r="AC38" s="2819"/>
      <c r="AD38" s="2819"/>
      <c r="AE38" s="2819"/>
      <c r="AF38" s="2819"/>
      <c r="AG38" s="2819"/>
      <c r="AH38" s="2819"/>
      <c r="AI38" s="2819"/>
      <c r="AJ38" s="2819"/>
      <c r="AK38" s="2819"/>
      <c r="AL38" s="2819"/>
      <c r="AM38" s="2819" t="s">
        <v>376</v>
      </c>
      <c r="AS38" s="2323">
        <v>14</v>
      </c>
    </row>
    <row customHeight="1" ht="14.699999999999998">
      <c r="Q39" s="1068"/>
      <c r="R39" s="1068"/>
      <c r="S39" s="2965" t="s">
        <v>89</v>
      </c>
      <c r="T39" s="2901" t="s">
        <v>500</v>
      </c>
      <c r="U39" s="1029"/>
      <c r="V39" s="2966" t="s">
        <v>501</v>
      </c>
      <c r="W39" s="2967"/>
      <c r="X39" s="2967"/>
      <c r="Y39" s="2967"/>
      <c r="Z39" s="2967"/>
      <c r="AA39" s="2967"/>
      <c r="AB39" s="2968"/>
      <c r="AC39" s="2969" t="s">
        <v>502</v>
      </c>
      <c r="AD39" s="2966" t="s">
        <v>501</v>
      </c>
      <c r="AE39" s="2967"/>
      <c r="AF39" s="2967"/>
      <c r="AG39" s="2967"/>
      <c r="AH39" s="2967"/>
      <c r="AI39" s="2967"/>
      <c r="AJ39" s="2968"/>
      <c r="AK39" s="2969" t="s">
        <v>503</v>
      </c>
      <c r="AL39" s="2972" t="s">
        <v>504</v>
      </c>
      <c r="AM39" s="2819"/>
      <c r="AS39" s="2323">
        <v>14</v>
      </c>
    </row>
    <row customHeight="1" ht="35.699999999999996">
      <c r="Q40" s="1068"/>
      <c r="R40" s="1068"/>
      <c r="S40" s="2965"/>
      <c r="T40" s="2901"/>
      <c r="U40" s="1723"/>
      <c r="V40" s="2952" t="s">
        <v>505</v>
      </c>
      <c r="W40" s="2975" t="s">
        <v>506</v>
      </c>
      <c r="X40" s="2954" t="s">
        <v>507</v>
      </c>
      <c r="Y40" s="2955"/>
      <c r="Z40" s="2954" t="s">
        <v>523</v>
      </c>
      <c r="AA40" s="2961"/>
      <c r="AB40" s="2955"/>
      <c r="AC40" s="2970"/>
      <c r="AD40" s="2952" t="s">
        <v>505</v>
      </c>
      <c r="AE40" s="2975" t="s">
        <v>506</v>
      </c>
      <c r="AF40" s="2954" t="s">
        <v>507</v>
      </c>
      <c r="AG40" s="2955"/>
      <c r="AH40" s="2954" t="s">
        <v>508</v>
      </c>
      <c r="AI40" s="2961"/>
      <c r="AJ40" s="2955"/>
      <c r="AK40" s="2970"/>
      <c r="AL40" s="2973"/>
      <c r="AM40" s="2819"/>
      <c r="AS40" s="2323">
        <v>34</v>
      </c>
    </row>
    <row customHeight="1" ht="35.699999999999996">
      <c r="A41" s="1958"/>
      <c r="B41" s="1958" t="s">
        <v>143</v>
      </c>
      <c r="C41" s="1958" t="s">
        <v>144</v>
      </c>
      <c r="D41" s="1958" t="s">
        <v>145</v>
      </c>
      <c r="E41" s="2002" t="s">
        <v>509</v>
      </c>
      <c r="F41" s="2002" t="s">
        <v>510</v>
      </c>
      <c r="G41" s="2002" t="s">
        <v>511</v>
      </c>
      <c r="H41" s="2002" t="s">
        <v>512</v>
      </c>
      <c r="I41" s="2002" t="s">
        <v>513</v>
      </c>
      <c r="J41" s="2002" t="s">
        <v>514</v>
      </c>
      <c r="K41" s="2002" t="s">
        <v>515</v>
      </c>
      <c r="L41" s="2002" t="s">
        <v>490</v>
      </c>
      <c r="Q41" s="1068"/>
      <c r="R41" s="1068"/>
      <c r="S41" s="2965"/>
      <c r="T41" s="2901"/>
      <c r="U41" s="994"/>
      <c r="V41" s="2953"/>
      <c r="W41" s="2976"/>
      <c r="X41" s="2630" t="s">
        <v>516</v>
      </c>
      <c r="Y41" s="2630" t="s">
        <v>517</v>
      </c>
      <c r="Z41" s="2630" t="s">
        <v>518</v>
      </c>
      <c r="AA41" s="2962" t="s">
        <v>519</v>
      </c>
      <c r="AB41" s="2963"/>
      <c r="AC41" s="2971"/>
      <c r="AD41" s="2953"/>
      <c r="AE41" s="2976"/>
      <c r="AF41" s="2630" t="s">
        <v>516</v>
      </c>
      <c r="AG41" s="2630" t="s">
        <v>517</v>
      </c>
      <c r="AH41" s="2630" t="s">
        <v>518</v>
      </c>
      <c r="AI41" s="2962" t="s">
        <v>519</v>
      </c>
      <c r="AJ41" s="2963"/>
      <c r="AK41" s="2971"/>
      <c r="AL41" s="2974"/>
      <c r="AM41" s="2819"/>
      <c r="AS41" s="2323">
        <v>34</v>
      </c>
    </row>
    <row s="61193" customFormat="1" customHeight="1" ht="11.25" hidden="1">
      <c r="A42" s="1958"/>
      <c r="B42" s="1958"/>
      <c r="C42" s="1958"/>
      <c r="D42" s="1958"/>
      <c r="E42" s="1958"/>
      <c r="F42" s="1958"/>
      <c r="G42" s="1958"/>
      <c r="H42" s="1958"/>
      <c r="I42" s="1958"/>
      <c r="J42" s="1958"/>
      <c r="K42" s="1958"/>
      <c r="L42" s="2002"/>
      <c r="M42" s="2657"/>
      <c r="N42" s="2657"/>
      <c r="O42" s="2657"/>
      <c r="P42" s="1938"/>
      <c r="Q42" s="1939"/>
      <c r="R42" s="1946">
        <v>1</v>
      </c>
      <c r="S42" s="1969" t="s">
        <v>118</v>
      </c>
      <c r="T42" s="1947" t="s">
        <v>103</v>
      </c>
      <c r="U42" s="1937" t="str">
        <f>OFFSET(U42,0,-1)</f>
        <v>2</v>
      </c>
      <c r="V42" s="2648">
        <f>OFFSET(V42,0,-1)+1</f>
        <v>3</v>
      </c>
      <c r="W42" s="2648"/>
      <c r="X42" s="2648">
        <f>OFFSET(X42,0,-1)+1</f>
        <v>1</v>
      </c>
      <c r="Y42" s="2648">
        <f>OFFSET(Y42,0,-1)+1</f>
        <v>2</v>
      </c>
      <c r="Z42" s="2648">
        <f>OFFSET(Z42,0,-1)+1</f>
        <v>3</v>
      </c>
      <c r="AA42" s="2964">
        <f>OFFSET(AA42,0,-1)+1</f>
        <v>4</v>
      </c>
      <c r="AB42" s="2964"/>
      <c r="AC42" s="2648">
        <f>OFFSET(AC42,0,-2)+1</f>
        <v>5</v>
      </c>
      <c r="AD42" s="2648">
        <f>OFFSET(AD42,0,-1)+1</f>
        <v>6</v>
      </c>
      <c r="AE42" s="2648"/>
      <c r="AF42" s="2648">
        <f>OFFSET(AF42,0,-1)+1</f>
        <v>1</v>
      </c>
      <c r="AG42" s="2648">
        <f>OFFSET(AG42,0,-1)+1</f>
        <v>2</v>
      </c>
      <c r="AH42" s="2648">
        <f>OFFSET(AH42,0,-1)+1</f>
        <v>3</v>
      </c>
      <c r="AI42" s="2964">
        <f>OFFSET(AI42,0,-1)+1</f>
        <v>4</v>
      </c>
      <c r="AJ42" s="2964"/>
      <c r="AK42" s="2648">
        <f>OFFSET(AK42,0,-2)+1</f>
        <v>5</v>
      </c>
      <c r="AL42" s="1937">
        <f>OFFSET(AL42,0,-1)</f>
        <v>5</v>
      </c>
      <c r="AM42" s="2648">
        <f>OFFSET(AM42,0,-1)+1</f>
        <v>6</v>
      </c>
      <c r="AN42" s="2328"/>
      <c r="AO42" s="2328"/>
      <c r="AP42" s="2328"/>
      <c r="AQ42" s="2328"/>
      <c r="AR42" s="2328"/>
      <c r="AS42" s="2333">
        <v>0</v>
      </c>
    </row>
    <row customHeight="1" ht="22.049999999999997">
      <c r="A43" s="1959" t="s">
        <v>287</v>
      </c>
      <c r="B43" s="1959"/>
      <c r="C43" s="1959"/>
      <c r="D43" s="1959"/>
      <c r="E43" s="2981">
        <v>1</v>
      </c>
      <c r="F43" s="1959"/>
      <c r="G43" s="1959"/>
      <c r="H43" s="1959"/>
      <c r="I43" s="1959"/>
      <c r="J43" s="1959"/>
      <c r="K43" s="1959"/>
      <c r="L43" s="2002"/>
      <c r="M43" s="2302"/>
      <c r="N43" s="2302"/>
      <c r="O43" s="2302"/>
      <c r="P43" s="2282"/>
      <c r="Q43" s="1052"/>
      <c r="R43" s="1047"/>
      <c r="S43" s="2650">
        <f>INDEX(PT_DIFFERENTIATION_NUM_NTAR,MATCH(A43,PT_DIFFERENTIATION_NTAR_ID,0))</f>
        <v>0</v>
      </c>
      <c r="T43" s="2217" t="s">
        <v>131</v>
      </c>
      <c r="U43" s="992"/>
      <c r="V43" s="2934"/>
      <c r="W43" s="2935"/>
      <c r="X43" s="2935"/>
      <c r="Y43" s="2935"/>
      <c r="Z43" s="2935"/>
      <c r="AA43" s="2935"/>
      <c r="AB43" s="2935"/>
      <c r="AC43" s="2936"/>
      <c r="AD43" s="2934" t="str">
        <f>INDEX(PT_DIFFERENTIATION_NTAR,MATCH(A43,PT_DIFFERENTIATION_NTAR_ID,0))</f>
        <v/>
      </c>
      <c r="AE43" s="2935"/>
      <c r="AF43" s="2935"/>
      <c r="AG43" s="2935"/>
      <c r="AH43" s="2935"/>
      <c r="AI43" s="2935"/>
      <c r="AJ43" s="2935"/>
      <c r="AK43" s="2935"/>
      <c r="AL43" s="2936"/>
      <c r="AM43" s="195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16"/>
      <c r="AP43" s="2316" t="str">
        <f>IF(T43="","",T43)</f>
        <v>Наименование тарифа</v>
      </c>
      <c r="AQ43" s="2316"/>
      <c r="AR43" s="2316"/>
      <c r="AS43" s="2323">
        <v>21</v>
      </c>
    </row>
    <row customHeight="1" ht="22.049999999999997">
      <c r="A44" s="1959" t="s">
        <v>287</v>
      </c>
      <c r="B44" s="1959" t="s">
        <v>288</v>
      </c>
      <c r="C44" s="1959"/>
      <c r="D44" s="1959"/>
      <c r="E44" s="2982"/>
      <c r="F44" s="2981">
        <v>1</v>
      </c>
      <c r="G44" s="1959"/>
      <c r="H44" s="1959"/>
      <c r="I44" s="1959"/>
      <c r="J44" s="1959"/>
      <c r="K44" s="1959"/>
      <c r="L44" s="2002"/>
      <c r="M44" s="2302"/>
      <c r="N44" s="2302"/>
      <c r="O44" s="2302"/>
      <c r="P44" s="2632"/>
      <c r="Q44" s="1044"/>
      <c r="R44" s="1045"/>
      <c r="S44" s="2650" t="str">
        <f>INDEX(PT_DIFFERENTIATION_NUM_TER,MATCH(B44,PT_DIFFERENTIATION_TER_ID,0))</f>
        <v>.</v>
      </c>
      <c r="T44" s="2214" t="s">
        <v>472</v>
      </c>
      <c r="U44" s="992"/>
      <c r="V44" s="2934"/>
      <c r="W44" s="2935"/>
      <c r="X44" s="2935"/>
      <c r="Y44" s="2935"/>
      <c r="Z44" s="2935"/>
      <c r="AA44" s="2935"/>
      <c r="AB44" s="2935"/>
      <c r="AC44" s="2936"/>
      <c r="AD44" s="2934" t="str">
        <f>INDEX(PT_DIFFERENTIATION_TER,MATCH(B44,PT_DIFFERENTIATION_TER_ID,0))</f>
        <v/>
      </c>
      <c r="AE44" s="2935"/>
      <c r="AF44" s="2935"/>
      <c r="AG44" s="2935"/>
      <c r="AH44" s="2935"/>
      <c r="AI44" s="2935"/>
      <c r="AJ44" s="2935"/>
      <c r="AK44" s="2935"/>
      <c r="AL44" s="2936"/>
      <c r="AM44" s="1950" t="s">
        <v>473</v>
      </c>
      <c r="AO44" s="2316"/>
      <c r="AP44" s="2316" t="str">
        <f>IF(T44="","",T44)</f>
        <v>Территория действия тарифа</v>
      </c>
      <c r="AQ44" s="2316"/>
      <c r="AR44" s="2316"/>
      <c r="AS44" s="2323">
        <v>21</v>
      </c>
    </row>
    <row customHeight="1" ht="24">
      <c r="A45" s="1959" t="s">
        <v>287</v>
      </c>
      <c r="B45" s="1959" t="s">
        <v>288</v>
      </c>
      <c r="C45" s="1959" t="s">
        <v>289</v>
      </c>
      <c r="D45" s="1959"/>
      <c r="E45" s="2982"/>
      <c r="F45" s="2982"/>
      <c r="G45" s="2981">
        <v>1</v>
      </c>
      <c r="H45" s="1959"/>
      <c r="I45" s="1959"/>
      <c r="J45" s="1959"/>
      <c r="K45" s="1959"/>
      <c r="L45" s="2002"/>
      <c r="M45" s="2302"/>
      <c r="N45" s="2302"/>
      <c r="O45" s="2302"/>
      <c r="P45" s="1046"/>
      <c r="Q45" s="1044"/>
      <c r="R45" s="1045"/>
      <c r="S45" s="2650" t="str">
        <f>INDEX(PT_DIFFERENTIATION_NUM_CS,MATCH(C45,PT_DIFFERENTIATION_CS_ID,0))</f>
        <v>..</v>
      </c>
      <c r="T45" s="1001" t="s">
        <v>474</v>
      </c>
      <c r="U45" s="992"/>
      <c r="V45" s="2934"/>
      <c r="W45" s="2935"/>
      <c r="X45" s="2935"/>
      <c r="Y45" s="2935"/>
      <c r="Z45" s="2935"/>
      <c r="AA45" s="2935"/>
      <c r="AB45" s="2935"/>
      <c r="AC45" s="2936"/>
      <c r="AD45" s="2934" t="str">
        <f>INDEX(PT_DIFFERENTIATION_CS,MATCH(C45,PT_DIFFERENTIATION_CS_ID,0))</f>
        <v/>
      </c>
      <c r="AE45" s="2935"/>
      <c r="AF45" s="2935"/>
      <c r="AG45" s="2935"/>
      <c r="AH45" s="2935"/>
      <c r="AI45" s="2935"/>
      <c r="AJ45" s="2935"/>
      <c r="AK45" s="2935"/>
      <c r="AL45" s="2936"/>
      <c r="AM45" s="1950" t="s">
        <v>475</v>
      </c>
      <c r="AO45" s="2316"/>
      <c r="AP45" s="2316" t="str">
        <f>IF(T45="","",T45)</f>
        <v>Наименование системы теплоснабжения </v>
      </c>
      <c r="AQ45" s="2316"/>
      <c r="AR45" s="2316"/>
      <c r="AS45" s="2323">
        <v>23</v>
      </c>
    </row>
    <row customHeight="1" ht="22.049999999999997">
      <c r="A46" s="1959" t="s">
        <v>287</v>
      </c>
      <c r="B46" s="1959" t="s">
        <v>288</v>
      </c>
      <c r="C46" s="1959" t="s">
        <v>289</v>
      </c>
      <c r="D46" s="1959" t="s">
        <v>290</v>
      </c>
      <c r="E46" s="2982"/>
      <c r="F46" s="2982"/>
      <c r="G46" s="2982"/>
      <c r="H46" s="2981">
        <v>1</v>
      </c>
      <c r="I46" s="1959"/>
      <c r="J46" s="1959"/>
      <c r="K46" s="1959"/>
      <c r="L46" s="2002"/>
      <c r="M46" s="2302"/>
      <c r="N46" s="2302"/>
      <c r="O46" s="2302"/>
      <c r="P46" s="1046"/>
      <c r="Q46" s="1044"/>
      <c r="R46" s="1045"/>
      <c r="S46" s="2650" t="str">
        <f>INDEX(PT_DIFFERENTIATION_NUM_IST_TE,MATCH(D46,PT_DIFFERENTIATION_IST_TE_ID,0))</f>
        <v>...</v>
      </c>
      <c r="T46" s="1002" t="s">
        <v>476</v>
      </c>
      <c r="U46" s="992"/>
      <c r="V46" s="2934"/>
      <c r="W46" s="2935"/>
      <c r="X46" s="2935"/>
      <c r="Y46" s="2935"/>
      <c r="Z46" s="2935"/>
      <c r="AA46" s="2935"/>
      <c r="AB46" s="2935"/>
      <c r="AC46" s="2936"/>
      <c r="AD46" s="2934" t="str">
        <f>INDEX(PT_DIFFERENTIATION_IST_TE,MATCH(D46,PT_DIFFERENTIATION_IST_TE_ID,0))</f>
        <v/>
      </c>
      <c r="AE46" s="2935"/>
      <c r="AF46" s="2935"/>
      <c r="AG46" s="2935"/>
      <c r="AH46" s="2935"/>
      <c r="AI46" s="2935"/>
      <c r="AJ46" s="2935"/>
      <c r="AK46" s="2935"/>
      <c r="AL46" s="2936"/>
      <c r="AM46" s="1950" t="s">
        <v>477</v>
      </c>
      <c r="AO46" s="2316"/>
      <c r="AP46" s="2316" t="str">
        <f>IF(T46="","",T46)</f>
        <v>Источник тепловой энергии  </v>
      </c>
      <c r="AQ46" s="2316"/>
      <c r="AR46" s="2316"/>
      <c r="AS46" s="2323">
        <v>21</v>
      </c>
    </row>
    <row customHeight="1" ht="49.5">
      <c r="A47" s="1959" t="s">
        <v>287</v>
      </c>
      <c r="B47" s="1959" t="s">
        <v>288</v>
      </c>
      <c r="C47" s="1959" t="s">
        <v>289</v>
      </c>
      <c r="D47" s="1959" t="s">
        <v>290</v>
      </c>
      <c r="E47" s="2982"/>
      <c r="F47" s="2982"/>
      <c r="G47" s="2982"/>
      <c r="H47" s="2982"/>
      <c r="I47" s="2819" t="str">
        <f>S46&amp;".1"</f>
        <v>....1</v>
      </c>
      <c r="J47" s="1959"/>
      <c r="K47" s="1959"/>
      <c r="L47" s="2002" t="s">
        <v>478</v>
      </c>
      <c r="P47" s="2949">
        <v>1</v>
      </c>
      <c r="Q47" s="2646"/>
      <c r="R47" s="1048"/>
      <c r="S47" s="2650" t="str">
        <f>$I47</f>
        <v>....1</v>
      </c>
      <c r="T47" s="977" t="s">
        <v>479</v>
      </c>
      <c r="U47" s="992"/>
      <c r="V47" s="2937"/>
      <c r="W47" s="2938"/>
      <c r="X47" s="2938"/>
      <c r="Y47" s="2938"/>
      <c r="Z47" s="2938"/>
      <c r="AA47" s="2938"/>
      <c r="AB47" s="2938"/>
      <c r="AC47" s="2939"/>
      <c r="AD47" s="2937"/>
      <c r="AE47" s="2938"/>
      <c r="AF47" s="2938"/>
      <c r="AG47" s="2938"/>
      <c r="AH47" s="2938"/>
      <c r="AI47" s="2938"/>
      <c r="AJ47" s="2938"/>
      <c r="AK47" s="2938"/>
      <c r="AL47" s="2939"/>
      <c r="AM47" s="1950" t="s">
        <v>480</v>
      </c>
      <c r="AO47" s="2316"/>
      <c r="AP47" s="2316" t="str">
        <f>IF(T47="","",T47)</f>
        <v>Схема подключения теплопотребляющей установки к коллектору источника тепловой энергии</v>
      </c>
      <c r="AQ47" s="2316"/>
      <c r="AR47" s="2316"/>
      <c r="AS47" s="2323">
        <v>47</v>
      </c>
    </row>
    <row customHeight="1" ht="22.049999999999997">
      <c r="A48" s="1959" t="s">
        <v>287</v>
      </c>
      <c r="B48" s="1959" t="s">
        <v>288</v>
      </c>
      <c r="C48" s="1959" t="s">
        <v>289</v>
      </c>
      <c r="D48" s="1959" t="s">
        <v>290</v>
      </c>
      <c r="E48" s="2982"/>
      <c r="F48" s="2982"/>
      <c r="G48" s="2982"/>
      <c r="H48" s="2982"/>
      <c r="I48" s="2793"/>
      <c r="J48" s="2819" t="str">
        <f>I47&amp;".1"</f>
        <v>....1.1</v>
      </c>
      <c r="K48" s="1959"/>
      <c r="L48" s="2002" t="s">
        <v>481</v>
      </c>
      <c r="P48" s="2949"/>
      <c r="Q48" s="2949">
        <v>1</v>
      </c>
      <c r="R48" s="1049"/>
      <c r="S48" s="2650" t="str">
        <f>$J48</f>
        <v>....1.1</v>
      </c>
      <c r="T48" s="978" t="s">
        <v>482</v>
      </c>
      <c r="U48" s="992"/>
      <c r="V48" s="2937"/>
      <c r="W48" s="2938"/>
      <c r="X48" s="2938"/>
      <c r="Y48" s="2938"/>
      <c r="Z48" s="2938"/>
      <c r="AA48" s="2938"/>
      <c r="AB48" s="2938"/>
      <c r="AC48" s="2939"/>
      <c r="AD48" s="2937"/>
      <c r="AE48" s="2938"/>
      <c r="AF48" s="2938"/>
      <c r="AG48" s="2938"/>
      <c r="AH48" s="2938"/>
      <c r="AI48" s="2938"/>
      <c r="AJ48" s="2938"/>
      <c r="AK48" s="2938"/>
      <c r="AL48" s="2939"/>
      <c r="AM48" s="1950" t="s">
        <v>483</v>
      </c>
      <c r="AO48" s="2316"/>
      <c r="AP48" s="2316" t="str">
        <f>IF(T48="","",T48)</f>
        <v>Группа потребителей</v>
      </c>
      <c r="AQ48" s="2316"/>
      <c r="AR48" s="2316"/>
      <c r="AS48" s="2323">
        <v>21</v>
      </c>
    </row>
    <row customHeight="1" ht="22.049999999999997">
      <c r="A49" s="1959" t="s">
        <v>287</v>
      </c>
      <c r="B49" s="1959" t="s">
        <v>288</v>
      </c>
      <c r="C49" s="1959" t="s">
        <v>289</v>
      </c>
      <c r="D49" s="1959" t="s">
        <v>290</v>
      </c>
      <c r="E49" s="2982"/>
      <c r="F49" s="2982"/>
      <c r="G49" s="2982"/>
      <c r="H49" s="2982"/>
      <c r="I49" s="2793"/>
      <c r="J49" s="2793"/>
      <c r="K49" s="2819" t="str">
        <f>J48&amp;".1"</f>
        <v>....1.1.1</v>
      </c>
      <c r="L49" s="2002" t="s">
        <v>484</v>
      </c>
      <c r="P49" s="2949"/>
      <c r="Q49" s="2949"/>
      <c r="R49" s="1049">
        <v>1</v>
      </c>
      <c r="S49" s="2650" t="str">
        <f>$K49</f>
        <v>....1.1.1</v>
      </c>
      <c r="T49" s="2039"/>
      <c r="U49" s="992"/>
      <c r="V49" s="1443"/>
      <c r="W49" s="1017"/>
      <c r="X49" s="1443"/>
      <c r="Y49" s="1949"/>
      <c r="Z49" s="2957"/>
      <c r="AA49" s="2799" t="s">
        <v>67</v>
      </c>
      <c r="AB49" s="2957"/>
      <c r="AC49" s="2799" t="s">
        <v>67</v>
      </c>
      <c r="AD49" s="1443"/>
      <c r="AE49" s="1017"/>
      <c r="AF49" s="1443"/>
      <c r="AG49" s="1949"/>
      <c r="AH49" s="2957"/>
      <c r="AI49" s="2799" t="s">
        <v>67</v>
      </c>
      <c r="AJ49" s="2979"/>
      <c r="AK49" s="2799" t="s">
        <v>67</v>
      </c>
      <c r="AL49" s="2040"/>
      <c r="AM49" s="2945" t="s">
        <v>485</v>
      </c>
      <c r="AN49" s="2328">
        <f>STRCHECKDATE(V50:AL50)</f>
      </c>
      <c r="AO49" s="2316"/>
      <c r="AP49" s="2316" t="str">
        <f>IF(T49="","",T49)</f>
        <v/>
      </c>
      <c r="AQ49" s="2316"/>
      <c r="AR49" s="2316"/>
      <c r="AS49" s="2323">
        <v>21</v>
      </c>
    </row>
    <row customHeight="1" ht="1.05">
      <c r="A50" s="1959" t="s">
        <v>287</v>
      </c>
      <c r="B50" s="1959" t="s">
        <v>288</v>
      </c>
      <c r="C50" s="1959" t="s">
        <v>289</v>
      </c>
      <c r="D50" s="1959" t="s">
        <v>290</v>
      </c>
      <c r="E50" s="2982"/>
      <c r="F50" s="2982"/>
      <c r="G50" s="2982"/>
      <c r="H50" s="2982"/>
      <c r="I50" s="2793"/>
      <c r="J50" s="2793"/>
      <c r="K50" s="2819"/>
      <c r="L50" s="2002"/>
      <c r="P50" s="2949"/>
      <c r="Q50" s="2949"/>
      <c r="R50" s="1049"/>
      <c r="S50" s="2659"/>
      <c r="T50" s="992"/>
      <c r="U50" s="992"/>
      <c r="V50" s="1017"/>
      <c r="W50" s="1017"/>
      <c r="X50" s="1017"/>
      <c r="Y50" s="1020" t="str">
        <f>Z49&amp;"-"&amp;AB49</f>
        <v>-</v>
      </c>
      <c r="Z50" s="2958"/>
      <c r="AA50" s="2799"/>
      <c r="AB50" s="2958"/>
      <c r="AC50" s="2799"/>
      <c r="AD50" s="1017"/>
      <c r="AE50" s="1017"/>
      <c r="AF50" s="1017"/>
      <c r="AG50" s="1020" t="str">
        <f>AH49&amp;"-"&amp;AJ49</f>
        <v>-</v>
      </c>
      <c r="AH50" s="2958"/>
      <c r="AI50" s="2799"/>
      <c r="AJ50" s="2980"/>
      <c r="AK50" s="2799"/>
      <c r="AL50" s="2041"/>
      <c r="AM50" s="2946"/>
      <c r="AO50" s="2316"/>
      <c r="AP50" s="2316" t="str">
        <f>IF(T50="","",T50)</f>
        <v/>
      </c>
      <c r="AQ50" s="2316"/>
      <c r="AR50" s="2316"/>
      <c r="AS50" s="2323">
        <v>1</v>
      </c>
    </row>
    <row customHeight="1" ht="11.549999999999999">
      <c r="A51" s="1959" t="s">
        <v>287</v>
      </c>
      <c r="B51" s="1959" t="s">
        <v>288</v>
      </c>
      <c r="C51" s="1959" t="s">
        <v>289</v>
      </c>
      <c r="D51" s="1959" t="s">
        <v>290</v>
      </c>
      <c r="E51" s="2982"/>
      <c r="F51" s="2982"/>
      <c r="G51" s="2982"/>
      <c r="H51" s="2982"/>
      <c r="I51" s="2793"/>
      <c r="J51" s="2819"/>
      <c r="K51" s="1959"/>
      <c r="L51" s="2002"/>
      <c r="P51" s="2949"/>
      <c r="Q51" s="2949"/>
      <c r="R51" s="1048"/>
      <c r="S51" s="1970"/>
      <c r="T51" s="980" t="s">
        <v>486</v>
      </c>
      <c r="U51" s="1292"/>
      <c r="V51" s="1292"/>
      <c r="W51" s="1292"/>
      <c r="X51" s="1292"/>
      <c r="Y51" s="1292"/>
      <c r="Z51" s="1292"/>
      <c r="AA51" s="1292"/>
      <c r="AB51" s="1292"/>
      <c r="AC51" s="1292"/>
      <c r="AD51" s="1292"/>
      <c r="AE51" s="1292"/>
      <c r="AF51" s="1292"/>
      <c r="AG51" s="1292"/>
      <c r="AH51" s="1292"/>
      <c r="AI51" s="1292"/>
      <c r="AJ51" s="1292"/>
      <c r="AK51" s="1292"/>
      <c r="AL51" s="1016"/>
      <c r="AM51" s="2947"/>
      <c r="AO51" s="2316"/>
      <c r="AP51" s="2316" t="str">
        <f>IF(T51="","",T51)</f>
        <v>Добавить вид теплоносителя (параметры теплоносителя)</v>
      </c>
      <c r="AQ51" s="2316"/>
      <c r="AR51" s="2316"/>
      <c r="AS51" s="2323">
        <v>11</v>
      </c>
    </row>
    <row customHeight="1" ht="11.549999999999999">
      <c r="A52" s="1959" t="s">
        <v>287</v>
      </c>
      <c r="B52" s="1959" t="s">
        <v>288</v>
      </c>
      <c r="C52" s="1959" t="s">
        <v>289</v>
      </c>
      <c r="D52" s="1959" t="s">
        <v>290</v>
      </c>
      <c r="E52" s="2982"/>
      <c r="F52" s="2982"/>
      <c r="G52" s="2982"/>
      <c r="H52" s="2982"/>
      <c r="I52" s="2819"/>
      <c r="J52" s="1959"/>
      <c r="K52" s="1959"/>
      <c r="L52" s="2002"/>
      <c r="P52" s="2949"/>
      <c r="Q52" s="2646"/>
      <c r="R52" s="1048"/>
      <c r="S52" s="1970"/>
      <c r="T52" s="979" t="s">
        <v>487</v>
      </c>
      <c r="U52" s="1292"/>
      <c r="V52" s="1292"/>
      <c r="W52" s="1292"/>
      <c r="X52" s="1292"/>
      <c r="Y52" s="1292"/>
      <c r="Z52" s="1292"/>
      <c r="AA52" s="1292"/>
      <c r="AB52" s="1292"/>
      <c r="AC52" s="1058"/>
      <c r="AD52" s="1292"/>
      <c r="AE52" s="1292"/>
      <c r="AF52" s="1292"/>
      <c r="AG52" s="1292"/>
      <c r="AH52" s="1292"/>
      <c r="AI52" s="1292"/>
      <c r="AJ52" s="1292"/>
      <c r="AK52" s="1058"/>
      <c r="AL52" s="1292"/>
      <c r="AM52" s="995"/>
      <c r="AO52" s="2316"/>
      <c r="AP52" s="2316" t="str">
        <f>IF(T52="","",T52)</f>
        <v>Добавить группу потребителей</v>
      </c>
      <c r="AQ52" s="2316"/>
      <c r="AR52" s="2316"/>
      <c r="AS52" s="2323">
        <v>11</v>
      </c>
    </row>
    <row customHeight="1" ht="14.699999999999998">
      <c r="A53" s="1959" t="s">
        <v>287</v>
      </c>
      <c r="B53" s="1959" t="s">
        <v>288</v>
      </c>
      <c r="C53" s="1959" t="s">
        <v>289</v>
      </c>
      <c r="D53" s="1959" t="s">
        <v>290</v>
      </c>
      <c r="E53" s="2982"/>
      <c r="F53" s="2982"/>
      <c r="G53" s="2982"/>
      <c r="H53" s="2981"/>
      <c r="I53" s="1959"/>
      <c r="J53" s="1959"/>
      <c r="K53" s="1959"/>
      <c r="L53" s="2002"/>
      <c r="M53" s="2302"/>
      <c r="N53" s="2302"/>
      <c r="O53" s="2327"/>
      <c r="P53" s="1052"/>
      <c r="Q53" s="1067"/>
      <c r="R53" s="1047"/>
      <c r="S53" s="1970"/>
      <c r="T53" s="1057" t="s">
        <v>488</v>
      </c>
      <c r="U53" s="1292"/>
      <c r="V53" s="1292"/>
      <c r="W53" s="1292"/>
      <c r="X53" s="1292"/>
      <c r="Y53" s="1292"/>
      <c r="Z53" s="1292"/>
      <c r="AA53" s="1292"/>
      <c r="AB53" s="1292"/>
      <c r="AC53" s="1058"/>
      <c r="AD53" s="1292"/>
      <c r="AE53" s="1292"/>
      <c r="AF53" s="1292"/>
      <c r="AG53" s="1292"/>
      <c r="AH53" s="1292"/>
      <c r="AI53" s="1292"/>
      <c r="AJ53" s="1292"/>
      <c r="AK53" s="1058"/>
      <c r="AL53" s="1292"/>
      <c r="AM53" s="995"/>
      <c r="AO53" s="2316"/>
      <c r="AP53" s="2316" t="str">
        <f>IF(T53="","",T53)</f>
        <v>Добавить схему подключения</v>
      </c>
      <c r="AQ53" s="2316"/>
      <c r="AR53" s="2316"/>
      <c r="AS53" s="2323">
        <v>14</v>
      </c>
    </row>
    <row s="61695" customFormat="1" customHeight="1" ht="4.2">
      <c r="A54" s="2067" t="s">
        <v>287</v>
      </c>
      <c r="B54" s="2067" t="s">
        <v>288</v>
      </c>
      <c r="C54" s="2067" t="s">
        <v>289</v>
      </c>
      <c r="D54" s="2066"/>
      <c r="E54" s="2982"/>
      <c r="F54" s="2982"/>
      <c r="G54" s="2981"/>
      <c r="H54" s="2066"/>
      <c r="I54" s="2066"/>
      <c r="J54" s="2066"/>
      <c r="K54" s="2066"/>
      <c r="L54" s="2069"/>
      <c r="M54" s="2070"/>
      <c r="N54" s="2070"/>
      <c r="O54" s="1043"/>
      <c r="P54" s="2008"/>
      <c r="Q54" s="2009"/>
      <c r="R54" s="2008"/>
      <c r="S54" s="2014"/>
      <c r="T54" s="2017" t="s">
        <v>171</v>
      </c>
      <c r="U54" s="2016"/>
      <c r="V54" s="2016"/>
      <c r="W54" s="2016"/>
      <c r="X54" s="2016"/>
      <c r="Y54" s="2016"/>
      <c r="Z54" s="2016"/>
      <c r="AA54" s="2016"/>
      <c r="AB54" s="2016"/>
      <c r="AC54" s="2016"/>
      <c r="AD54" s="2016"/>
      <c r="AE54" s="2016"/>
      <c r="AF54" s="2016"/>
      <c r="AG54" s="2016"/>
      <c r="AH54" s="2016"/>
      <c r="AI54" s="2016"/>
      <c r="AJ54" s="2016"/>
      <c r="AK54" s="2016"/>
      <c r="AL54" s="2016"/>
      <c r="AM54" s="2016"/>
      <c r="AO54" s="1943"/>
      <c r="AP54" s="1943" t="str">
        <f>IF(T54="","",T54)</f>
        <v>Добавить источник для дифференциации</v>
      </c>
      <c r="AQ54" s="1943"/>
      <c r="AR54" s="1943"/>
      <c r="AS54" s="2334">
        <v>4</v>
      </c>
    </row>
    <row s="61695" customFormat="1" customHeight="1" ht="4.2">
      <c r="A55" s="2067" t="s">
        <v>287</v>
      </c>
      <c r="B55" s="2067" t="s">
        <v>288</v>
      </c>
      <c r="C55" s="2066"/>
      <c r="D55" s="2066"/>
      <c r="E55" s="2982"/>
      <c r="F55" s="2981"/>
      <c r="G55" s="2066"/>
      <c r="H55" s="2066"/>
      <c r="I55" s="2066"/>
      <c r="J55" s="2066"/>
      <c r="K55" s="2066"/>
      <c r="L55" s="2069"/>
      <c r="M55" s="2071"/>
      <c r="N55" s="2071"/>
      <c r="O55" s="1043"/>
      <c r="P55" s="2008"/>
      <c r="Q55" s="2009"/>
      <c r="R55" s="2008"/>
      <c r="S55" s="2014"/>
      <c r="T55" s="2017" t="s">
        <v>172</v>
      </c>
      <c r="U55" s="2016"/>
      <c r="V55" s="2016"/>
      <c r="W55" s="2016"/>
      <c r="X55" s="2016"/>
      <c r="Y55" s="2016"/>
      <c r="Z55" s="2016"/>
      <c r="AA55" s="2016"/>
      <c r="AB55" s="2016"/>
      <c r="AC55" s="2016"/>
      <c r="AD55" s="2016"/>
      <c r="AE55" s="2016"/>
      <c r="AF55" s="2016"/>
      <c r="AG55" s="2016"/>
      <c r="AH55" s="2016"/>
      <c r="AI55" s="2016"/>
      <c r="AJ55" s="2016"/>
      <c r="AK55" s="2016"/>
      <c r="AL55" s="2016"/>
      <c r="AM55" s="2016"/>
      <c r="AO55" s="1943"/>
      <c r="AP55" s="1943" t="str">
        <f>IF(T55="","",T55)</f>
        <v>Добавить централизованную систему для дифференциации</v>
      </c>
      <c r="AQ55" s="1943"/>
      <c r="AR55" s="1943"/>
      <c r="AS55" s="2334">
        <v>4</v>
      </c>
    </row>
    <row s="61695" customFormat="1" customHeight="1" ht="4.2">
      <c r="A56" s="2067" t="s">
        <v>287</v>
      </c>
      <c r="B56" s="2067"/>
      <c r="C56" s="2067"/>
      <c r="D56" s="2067"/>
      <c r="E56" s="2981"/>
      <c r="F56" s="2067"/>
      <c r="G56" s="2067"/>
      <c r="H56" s="2067"/>
      <c r="I56" s="2067"/>
      <c r="J56" s="2067"/>
      <c r="K56" s="2067"/>
      <c r="L56" s="2073"/>
      <c r="M56" s="2071"/>
      <c r="N56" s="2071"/>
      <c r="O56" s="1043"/>
      <c r="P56" s="1072"/>
      <c r="Q56" s="2036"/>
      <c r="R56" s="1072"/>
      <c r="S56" s="2014"/>
      <c r="T56" s="2017" t="s">
        <v>173</v>
      </c>
      <c r="U56" s="2016"/>
      <c r="V56" s="2016"/>
      <c r="W56" s="2016"/>
      <c r="X56" s="2016"/>
      <c r="Y56" s="2016"/>
      <c r="Z56" s="2016"/>
      <c r="AA56" s="2016"/>
      <c r="AB56" s="2016"/>
      <c r="AC56" s="2016"/>
      <c r="AD56" s="2016"/>
      <c r="AE56" s="2016"/>
      <c r="AF56" s="2016"/>
      <c r="AG56" s="2016"/>
      <c r="AH56" s="2016"/>
      <c r="AI56" s="2016"/>
      <c r="AJ56" s="2016"/>
      <c r="AK56" s="2016"/>
      <c r="AL56" s="2016"/>
      <c r="AM56" s="2016"/>
      <c r="AO56" s="2316"/>
      <c r="AP56" s="2316" t="str">
        <f>IF(T56="","",T56)</f>
        <v>Добавить территорию для дифференциации</v>
      </c>
      <c r="AQ56" s="2316"/>
      <c r="AR56" s="2316"/>
      <c r="AS56" s="2328">
        <v>4</v>
      </c>
    </row>
    <row s="61695" customFormat="1" customHeight="1" ht="4.2">
      <c r="A57" s="2066"/>
      <c r="B57" s="2066"/>
      <c r="C57" s="2066"/>
      <c r="D57" s="2066"/>
      <c r="E57" s="2067"/>
      <c r="F57" s="2066"/>
      <c r="G57" s="2066"/>
      <c r="H57" s="2066"/>
      <c r="I57" s="2066"/>
      <c r="J57" s="2066"/>
      <c r="K57" s="2066"/>
      <c r="L57" s="2069"/>
      <c r="M57" s="2071"/>
      <c r="N57" s="2071"/>
      <c r="O57" s="1043"/>
      <c r="P57" s="2008"/>
      <c r="Q57" s="2009"/>
      <c r="R57" s="2008"/>
      <c r="S57" s="2014"/>
      <c r="T57" s="2017" t="s">
        <v>186</v>
      </c>
      <c r="U57" s="2016"/>
      <c r="V57" s="2016"/>
      <c r="W57" s="2016"/>
      <c r="X57" s="2016"/>
      <c r="Y57" s="2016"/>
      <c r="Z57" s="2016"/>
      <c r="AA57" s="2016"/>
      <c r="AB57" s="2016"/>
      <c r="AC57" s="2016"/>
      <c r="AD57" s="2016"/>
      <c r="AE57" s="2016"/>
      <c r="AF57" s="2016"/>
      <c r="AG57" s="2016"/>
      <c r="AH57" s="2016"/>
      <c r="AI57" s="2016"/>
      <c r="AJ57" s="2016"/>
      <c r="AK57" s="2016"/>
      <c r="AL57" s="2016"/>
      <c r="AM57" s="2016"/>
      <c r="AO57" s="1943"/>
      <c r="AP57" s="1943" t="str">
        <f>IF(T57="","",T57)</f>
        <v>Добавить наименование тарифа</v>
      </c>
      <c r="AQ57" s="1943"/>
      <c r="AR57" s="1943"/>
      <c r="AS57" s="2334">
        <v>4</v>
      </c>
    </row>
    <row customHeight="1" ht="11.549999999999999">
      <c r="M58" s="2323"/>
      <c r="N58" s="2323"/>
      <c r="O58" s="2327"/>
      <c r="P58" s="2323"/>
      <c r="Q58" s="2323"/>
      <c r="R58" s="2323"/>
      <c r="S58" s="2323"/>
      <c r="AN58" s="2323"/>
      <c r="AO58" s="2323"/>
      <c r="AP58" s="2323"/>
      <c r="AQ58" s="2323"/>
      <c r="AR58" s="2323"/>
      <c r="AS58" s="2323">
        <v>11</v>
      </c>
    </row>
    <row customHeight="1" ht="28.5">
      <c r="O59" s="2327"/>
      <c r="S59" s="1945"/>
      <c r="T59" s="2977"/>
      <c r="U59" s="2977"/>
      <c r="V59" s="2977"/>
      <c r="W59" s="2977"/>
      <c r="X59" s="2977"/>
      <c r="Y59" s="2977"/>
      <c r="Z59" s="2977"/>
      <c r="AA59" s="2977"/>
      <c r="AB59" s="2977"/>
      <c r="AC59" s="2977"/>
      <c r="AD59" s="2977"/>
      <c r="AE59" s="2977"/>
      <c r="AF59" s="2977"/>
      <c r="AG59" s="2977"/>
      <c r="AH59" s="2977"/>
      <c r="AI59" s="2977"/>
      <c r="AJ59" s="2977"/>
      <c r="AK59" s="2977"/>
      <c r="AL59" s="2977"/>
      <c r="AM59" s="2977"/>
      <c r="AS59" s="2323">
        <v>27</v>
      </c>
    </row>
    <row customHeight="1" ht="65.25">
      <c r="O60" s="2327"/>
      <c r="T60" s="2977"/>
      <c r="U60" s="2977"/>
      <c r="V60" s="2977"/>
      <c r="W60" s="2977"/>
      <c r="X60" s="2977"/>
      <c r="Y60" s="2977"/>
      <c r="Z60" s="2977"/>
      <c r="AA60" s="2977"/>
      <c r="AB60" s="2977"/>
      <c r="AC60" s="2977"/>
      <c r="AD60" s="2977"/>
      <c r="AE60" s="2977"/>
      <c r="AF60" s="2977"/>
      <c r="AG60" s="2977"/>
      <c r="AH60" s="2977"/>
      <c r="AI60" s="2977"/>
      <c r="AJ60" s="2977"/>
      <c r="AK60" s="2977"/>
      <c r="AL60" s="2977"/>
      <c r="AM60" s="2977"/>
      <c r="AS60" s="2323">
        <v>62</v>
      </c>
    </row>
    <row customHeight="1" ht="14.699999999999998">
      <c r="O61" s="2327"/>
      <c r="AS61" s="2323">
        <v>14</v>
      </c>
    </row>
    <row customHeight="1" ht="18.75">
      <c r="O62" s="2327"/>
      <c r="S62" s="1945"/>
      <c r="T62" s="2977"/>
      <c r="U62" s="2977"/>
      <c r="V62" s="2977"/>
      <c r="W62" s="2977"/>
      <c r="X62" s="2977"/>
      <c r="Y62" s="2977"/>
      <c r="Z62" s="2977"/>
      <c r="AA62" s="2977"/>
      <c r="AB62" s="2977"/>
      <c r="AC62" s="2977"/>
      <c r="AD62" s="2977"/>
      <c r="AE62" s="2977"/>
      <c r="AF62" s="2977"/>
      <c r="AG62" s="2977"/>
      <c r="AH62" s="2977"/>
      <c r="AI62" s="2977"/>
      <c r="AJ62" s="2977"/>
      <c r="AK62" s="2977"/>
      <c r="AL62" s="2977"/>
      <c r="AM62" s="2977"/>
      <c r="AS62" s="2323">
        <v>18</v>
      </c>
    </row>
    <row customHeight="1" ht="18.75">
      <c r="O63" s="2327"/>
      <c r="T63" s="2977"/>
      <c r="U63" s="2977"/>
      <c r="V63" s="2977"/>
      <c r="W63" s="2977"/>
      <c r="X63" s="2977"/>
      <c r="Y63" s="2977"/>
      <c r="Z63" s="2977"/>
      <c r="AA63" s="2977"/>
      <c r="AB63" s="2977"/>
      <c r="AC63" s="2977"/>
      <c r="AD63" s="2977"/>
      <c r="AE63" s="2977"/>
      <c r="AF63" s="2977"/>
      <c r="AG63" s="2977"/>
      <c r="AH63" s="2977"/>
      <c r="AI63" s="2977"/>
      <c r="AJ63" s="2977"/>
      <c r="AK63" s="2977"/>
      <c r="AL63" s="2977"/>
      <c r="AM63" s="2977"/>
      <c r="AS63" s="2323">
        <v>18</v>
      </c>
    </row>
    <row customHeight="1" ht="29.25">
      <c r="O64" s="2327"/>
      <c r="S64" s="1945"/>
      <c r="T64" s="2977"/>
      <c r="U64" s="2977"/>
      <c r="V64" s="2977"/>
      <c r="W64" s="2977"/>
      <c r="X64" s="2977"/>
      <c r="Y64" s="2977"/>
      <c r="Z64" s="2977"/>
      <c r="AA64" s="2977"/>
      <c r="AB64" s="2977"/>
      <c r="AC64" s="2977"/>
      <c r="AD64" s="2977"/>
      <c r="AE64" s="2977"/>
      <c r="AF64" s="2977"/>
      <c r="AG64" s="2977"/>
      <c r="AH64" s="2977"/>
      <c r="AI64" s="2977"/>
      <c r="AJ64" s="2977"/>
      <c r="AK64" s="2977"/>
      <c r="AL64" s="2977"/>
      <c r="AM64" s="2977"/>
      <c r="AS64" s="2323">
        <v>28</v>
      </c>
    </row>
    <row customHeight="1" ht="22.5" hidden="1">
      <c r="A65" s="2323" t="s">
        <v>83</v>
      </c>
      <c r="B65" s="2323">
        <v>0</v>
      </c>
      <c r="C65" s="2323">
        <v>0</v>
      </c>
      <c r="D65" s="2323">
        <v>0</v>
      </c>
      <c r="E65" s="2323">
        <v>0</v>
      </c>
      <c r="F65" s="2323">
        <v>0</v>
      </c>
      <c r="G65" s="2323">
        <v>0</v>
      </c>
      <c r="H65" s="2323">
        <v>0</v>
      </c>
      <c r="I65" s="2323">
        <v>0</v>
      </c>
      <c r="J65" s="2323">
        <v>0</v>
      </c>
      <c r="K65" s="2323">
        <v>0</v>
      </c>
      <c r="L65" s="2631">
        <v>0</v>
      </c>
      <c r="M65" s="2657">
        <v>0</v>
      </c>
      <c r="N65" s="2657">
        <v>0</v>
      </c>
      <c r="O65" s="2657">
        <v>0</v>
      </c>
      <c r="P65" s="2657">
        <v>3</v>
      </c>
      <c r="Q65" s="1036">
        <v>3</v>
      </c>
      <c r="R65" s="1036">
        <v>3</v>
      </c>
      <c r="S65" s="1273">
        <v>12</v>
      </c>
      <c r="T65" s="2323">
        <v>31</v>
      </c>
      <c r="U65" s="2323">
        <v>0</v>
      </c>
      <c r="V65" s="2323">
        <v>0</v>
      </c>
      <c r="W65" s="2323">
        <v>0</v>
      </c>
      <c r="X65" s="2323">
        <v>0</v>
      </c>
      <c r="Y65" s="2323">
        <v>0</v>
      </c>
      <c r="Z65" s="2323">
        <v>0</v>
      </c>
      <c r="AA65" s="2323">
        <v>0</v>
      </c>
      <c r="AB65" s="2323">
        <v>0</v>
      </c>
      <c r="AC65" s="2323">
        <v>0</v>
      </c>
      <c r="AD65" s="2323">
        <v>24</v>
      </c>
      <c r="AE65" s="2323">
        <v>0</v>
      </c>
      <c r="AF65" s="2323">
        <v>24</v>
      </c>
      <c r="AG65" s="2323">
        <v>24</v>
      </c>
      <c r="AH65" s="2323">
        <v>11</v>
      </c>
      <c r="AI65" s="2323">
        <v>3</v>
      </c>
      <c r="AJ65" s="2323">
        <v>11</v>
      </c>
      <c r="AK65" s="2323">
        <v>0</v>
      </c>
      <c r="AL65" s="2323">
        <v>4</v>
      </c>
      <c r="AM65" s="2323">
        <v>115</v>
      </c>
      <c r="AN65" s="2328">
        <v>10</v>
      </c>
      <c r="AO65" s="2328">
        <v>10</v>
      </c>
      <c r="AP65" s="2328">
        <v>10</v>
      </c>
      <c r="AQ65" s="2328">
        <v>10</v>
      </c>
      <c r="AR65" s="2328">
        <v>10</v>
      </c>
      <c r="AS65" s="2323">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9E2627-BAFE-C7D4-9B55-B8EA19F523D9}"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62286" width="10.57421875" hidden="1"/>
    <col min="2" max="2" style="62286" width="11.00390625" hidden="1" customWidth="1"/>
    <col min="3" max="3" style="62286" width="10.57421875" hidden="1"/>
    <col min="4" max="4" style="62286" width="11.8515625" hidden="1" customWidth="1"/>
    <col min="5" max="5" style="62286" width="10.00390625" hidden="1" customWidth="1"/>
    <col min="6" max="6" style="62286" width="8.7109375" hidden="1" customWidth="1"/>
    <col min="7" max="7" style="62286" width="7.57421875" hidden="1" customWidth="1"/>
    <col min="8" max="8" style="62286" width="11.421875" hidden="1" customWidth="1"/>
    <col min="9" max="9" style="62286" width="12.00390625" hidden="1" customWidth="1"/>
    <col min="10" max="10" style="62286" width="9.8515625" hidden="1" customWidth="1"/>
    <col min="11" max="11" style="62286" width="11.421875" hidden="1" customWidth="1"/>
    <col min="12" max="12" style="63163" width="19.140625" hidden="1" customWidth="1"/>
    <col min="13" max="14" style="63184" width="12.28125" hidden="1" customWidth="1"/>
    <col min="15" max="15" style="63184" width="23.421875" hidden="1" customWidth="1"/>
    <col min="16" max="16" style="63184" width="3.00390625" customWidth="1"/>
    <col min="17" max="18" style="62288" width="3.00390625" customWidth="1"/>
    <col min="19" max="19" style="63156" width="12.00390625" customWidth="1"/>
    <col min="20" max="20" style="62286" width="31.00390625" customWidth="1"/>
    <col min="21" max="21" style="62286" width="0.140625" customWidth="1"/>
    <col min="22" max="22" style="62286" width="24.7109375" hidden="1" customWidth="1"/>
    <col min="23" max="23" style="62286" width="0.140625" hidden="1" customWidth="1"/>
    <col min="24" max="25" style="62286" width="24.7109375" hidden="1" customWidth="1"/>
    <col min="26" max="26" style="62286" width="11.7109375" hidden="1" customWidth="1"/>
    <col min="27" max="27" style="62286" width="3.7109375" hidden="1" customWidth="1"/>
    <col min="28" max="28" style="62286" width="11.7109375" hidden="1" customWidth="1"/>
    <col min="29" max="29" style="62286" width="8.57421875" hidden="1" customWidth="1"/>
    <col min="30" max="30" style="62286" width="24.7109375" customWidth="1"/>
    <col min="31" max="31" style="62286" width="0.140625" customWidth="1"/>
    <col min="32" max="33" style="62286" width="24.00390625" customWidth="1"/>
    <col min="34" max="34" style="62286" width="11.00390625" customWidth="1"/>
    <col min="35" max="35" style="62286" width="3.7109375" customWidth="1"/>
    <col min="36" max="36" style="62286" width="11.00390625" customWidth="1"/>
    <col min="37" max="37" style="62286" width="8.57421875" hidden="1" customWidth="1"/>
    <col min="38" max="38" style="62286" width="4.00390625" customWidth="1"/>
    <col min="39" max="39" style="62286" width="115.00390625" customWidth="1"/>
    <col min="40" max="44" style="61695" width="10.00390625" customWidth="1"/>
    <col min="45" max="45" style="62286" width="10.57421875" hidden="1"/>
  </cols>
  <sheetData>
    <row customHeight="1" ht="22.5" hidden="1">
      <c r="AS1" s="2323" t="s">
        <v>14</v>
      </c>
    </row>
    <row customHeight="1" ht="21" hidden="1">
      <c r="A2" s="1959"/>
      <c r="B2" s="1959"/>
      <c r="C2" s="1959"/>
      <c r="D2" s="1959"/>
      <c r="E2" s="2981">
        <v>1</v>
      </c>
      <c r="F2" s="1959"/>
      <c r="G2" s="1959"/>
      <c r="H2" s="1959"/>
      <c r="I2" s="1959"/>
      <c r="J2" s="1959"/>
      <c r="K2" s="1959"/>
      <c r="L2" s="2002"/>
      <c r="M2" s="2302"/>
      <c r="N2" s="2302"/>
      <c r="O2" s="2302"/>
      <c r="P2" s="2282"/>
      <c r="Q2" s="1052"/>
      <c r="R2" s="1047"/>
      <c r="S2" s="2650">
        <f>INDEX(PT_DIFFERENTIATION_NUM_NTAR,MATCH(A2,PT_DIFFERENTIATION_NTAR_ID,0))</f>
      </c>
      <c r="T2" s="2217" t="s">
        <v>131</v>
      </c>
      <c r="U2" s="992"/>
      <c r="V2" s="2934"/>
      <c r="W2" s="2935"/>
      <c r="X2" s="2935"/>
      <c r="Y2" s="2935"/>
      <c r="Z2" s="2935"/>
      <c r="AA2" s="2935"/>
      <c r="AB2" s="2935"/>
      <c r="AC2" s="2936"/>
      <c r="AD2" s="2934">
        <f>INDEX(PT_DIFFERENTIATION_NTAR,MATCH(A2,PT_DIFFERENTIATION_NTAR_ID,0))</f>
      </c>
      <c r="AE2" s="2935"/>
      <c r="AF2" s="2935"/>
      <c r="AG2" s="2935"/>
      <c r="AH2" s="2935"/>
      <c r="AI2" s="2935"/>
      <c r="AJ2" s="2935"/>
      <c r="AK2" s="2935"/>
      <c r="AL2" s="2936"/>
      <c r="AM2" s="1950" t="s">
        <v>471</v>
      </c>
      <c r="AO2" s="2316"/>
      <c r="AP2" s="2316" t="str">
        <f>IF(T2="","",T2)</f>
        <v>Наименование тарифа</v>
      </c>
      <c r="AQ2" s="2316"/>
      <c r="AR2" s="2316"/>
      <c r="AS2" s="2323">
        <v>0</v>
      </c>
    </row>
    <row customHeight="1" ht="21" hidden="1">
      <c r="A3" s="1959"/>
      <c r="B3" s="1959"/>
      <c r="C3" s="1959"/>
      <c r="D3" s="1959"/>
      <c r="E3" s="2982"/>
      <c r="F3" s="2981">
        <v>1</v>
      </c>
      <c r="G3" s="1959"/>
      <c r="H3" s="1959"/>
      <c r="I3" s="1959"/>
      <c r="J3" s="1959"/>
      <c r="K3" s="1959"/>
      <c r="L3" s="2002"/>
      <c r="M3" s="2302"/>
      <c r="N3" s="2302"/>
      <c r="O3" s="2302"/>
      <c r="P3" s="2632"/>
      <c r="Q3" s="1044"/>
      <c r="R3" s="1045"/>
      <c r="S3" s="2650">
        <f>INDEX(PT_DIFFERENTIATION_NUM_TER,MATCH(B3,PT_DIFFERENTIATION_TER_ID,0))</f>
      </c>
      <c r="T3" s="2214" t="s">
        <v>472</v>
      </c>
      <c r="U3" s="992"/>
      <c r="V3" s="2934"/>
      <c r="W3" s="2935"/>
      <c r="X3" s="2935"/>
      <c r="Y3" s="2935"/>
      <c r="Z3" s="2935"/>
      <c r="AA3" s="2935"/>
      <c r="AB3" s="2935"/>
      <c r="AC3" s="2936"/>
      <c r="AD3" s="2934">
        <f>INDEX(PT_DIFFERENTIATION_TER,MATCH(B3,PT_DIFFERENTIATION_TER_ID,0))</f>
      </c>
      <c r="AE3" s="2935"/>
      <c r="AF3" s="2935"/>
      <c r="AG3" s="2935"/>
      <c r="AH3" s="2935"/>
      <c r="AI3" s="2935"/>
      <c r="AJ3" s="2935"/>
      <c r="AK3" s="2935"/>
      <c r="AL3" s="2936"/>
      <c r="AM3" s="1950" t="s">
        <v>473</v>
      </c>
      <c r="AO3" s="2316"/>
      <c r="AP3" s="2316" t="str">
        <f>IF(T3="","",T3)</f>
        <v>Территория действия тарифа</v>
      </c>
      <c r="AQ3" s="2316"/>
      <c r="AR3" s="2316"/>
      <c r="AS3" s="2323">
        <v>0</v>
      </c>
    </row>
    <row customHeight="1" ht="23.25" hidden="1">
      <c r="A4" s="1959"/>
      <c r="B4" s="1959"/>
      <c r="C4" s="1959"/>
      <c r="D4" s="1959"/>
      <c r="E4" s="2982"/>
      <c r="F4" s="2982"/>
      <c r="G4" s="2981">
        <v>1</v>
      </c>
      <c r="H4" s="1959"/>
      <c r="I4" s="1959"/>
      <c r="J4" s="1959"/>
      <c r="K4" s="1959"/>
      <c r="L4" s="2002"/>
      <c r="M4" s="2302"/>
      <c r="N4" s="2302"/>
      <c r="O4" s="2302"/>
      <c r="P4" s="1046"/>
      <c r="Q4" s="1044"/>
      <c r="R4" s="1045"/>
      <c r="S4" s="2650">
        <f>INDEX(PT_DIFFERENTIATION_NUM_CS,MATCH(C4,PT_DIFFERENTIATION_CS_ID,0))</f>
      </c>
      <c r="T4" s="1001" t="s">
        <v>474</v>
      </c>
      <c r="U4" s="992"/>
      <c r="V4" s="2934"/>
      <c r="W4" s="2935"/>
      <c r="X4" s="2935"/>
      <c r="Y4" s="2935"/>
      <c r="Z4" s="2935"/>
      <c r="AA4" s="2935"/>
      <c r="AB4" s="2935"/>
      <c r="AC4" s="2936"/>
      <c r="AD4" s="2934">
        <f>INDEX(PT_DIFFERENTIATION_CS,MATCH(C4,PT_DIFFERENTIATION_CS_ID,0))</f>
      </c>
      <c r="AE4" s="2935"/>
      <c r="AF4" s="2935"/>
      <c r="AG4" s="2935"/>
      <c r="AH4" s="2935"/>
      <c r="AI4" s="2935"/>
      <c r="AJ4" s="2935"/>
      <c r="AK4" s="2935"/>
      <c r="AL4" s="2936"/>
      <c r="AM4" s="1950" t="s">
        <v>475</v>
      </c>
      <c r="AO4" s="2316"/>
      <c r="AP4" s="2316" t="str">
        <f>IF(T4="","",T4)</f>
        <v>Наименование системы теплоснабжения </v>
      </c>
      <c r="AQ4" s="2316"/>
      <c r="AR4" s="2316"/>
      <c r="AS4" s="2323">
        <v>0</v>
      </c>
    </row>
    <row customHeight="1" ht="21" hidden="1">
      <c r="A5" s="1959"/>
      <c r="B5" s="1959"/>
      <c r="C5" s="1959"/>
      <c r="D5" s="1959"/>
      <c r="E5" s="2982"/>
      <c r="F5" s="2982"/>
      <c r="G5" s="2982"/>
      <c r="H5" s="2981">
        <v>1</v>
      </c>
      <c r="I5" s="1959"/>
      <c r="J5" s="1959"/>
      <c r="K5" s="1959"/>
      <c r="L5" s="2002"/>
      <c r="M5" s="2302"/>
      <c r="N5" s="2302"/>
      <c r="O5" s="2302"/>
      <c r="P5" s="1046"/>
      <c r="Q5" s="1044"/>
      <c r="R5" s="1045"/>
      <c r="S5" s="2650">
        <f>INDEX(PT_DIFFERENTIATION_NUM_IST_TE,MATCH(D5,PT_DIFFERENTIATION_IST_TE_ID,0))</f>
      </c>
      <c r="T5" s="1002" t="s">
        <v>476</v>
      </c>
      <c r="U5" s="992"/>
      <c r="V5" s="2934"/>
      <c r="W5" s="2935"/>
      <c r="X5" s="2935"/>
      <c r="Y5" s="2935"/>
      <c r="Z5" s="2935"/>
      <c r="AA5" s="2935"/>
      <c r="AB5" s="2935"/>
      <c r="AC5" s="2936"/>
      <c r="AD5" s="2934">
        <f>INDEX(PT_DIFFERENTIATION_IST_TE,MATCH(D5,PT_DIFFERENTIATION_IST_TE_ID,0))</f>
      </c>
      <c r="AE5" s="2935"/>
      <c r="AF5" s="2935"/>
      <c r="AG5" s="2935"/>
      <c r="AH5" s="2935"/>
      <c r="AI5" s="2935"/>
      <c r="AJ5" s="2935"/>
      <c r="AK5" s="2935"/>
      <c r="AL5" s="2936"/>
      <c r="AM5" s="1950" t="s">
        <v>477</v>
      </c>
      <c r="AO5" s="2316"/>
      <c r="AP5" s="2316" t="str">
        <f>IF(T5="","",T5)</f>
        <v>Источник тепловой энергии  </v>
      </c>
      <c r="AQ5" s="2316"/>
      <c r="AR5" s="2316"/>
      <c r="AS5" s="2323">
        <v>0</v>
      </c>
    </row>
    <row customHeight="1" ht="47.25" hidden="1">
      <c r="A6" s="1959"/>
      <c r="B6" s="1959"/>
      <c r="C6" s="1959"/>
      <c r="D6" s="1959"/>
      <c r="E6" s="2982"/>
      <c r="F6" s="2982"/>
      <c r="G6" s="2982"/>
      <c r="H6" s="2982"/>
      <c r="I6" s="2819">
        <f>S5&amp;".1"</f>
      </c>
      <c r="J6" s="1959"/>
      <c r="K6" s="1959"/>
      <c r="L6" s="2002" t="s">
        <v>478</v>
      </c>
      <c r="M6" s="2327"/>
      <c r="P6" s="2949">
        <v>1</v>
      </c>
      <c r="Q6" s="2646"/>
      <c r="R6" s="1048"/>
      <c r="S6" s="2650">
        <f>$I6</f>
      </c>
      <c r="T6" s="977" t="s">
        <v>479</v>
      </c>
      <c r="U6" s="992"/>
      <c r="V6" s="2937"/>
      <c r="W6" s="2938"/>
      <c r="X6" s="2938"/>
      <c r="Y6" s="2938"/>
      <c r="Z6" s="2938"/>
      <c r="AA6" s="2938"/>
      <c r="AB6" s="2938"/>
      <c r="AC6" s="2939"/>
      <c r="AD6" s="2937"/>
      <c r="AE6" s="2938"/>
      <c r="AF6" s="2938"/>
      <c r="AG6" s="2938"/>
      <c r="AH6" s="2938"/>
      <c r="AI6" s="2938"/>
      <c r="AJ6" s="2938"/>
      <c r="AK6" s="2938"/>
      <c r="AL6" s="2939"/>
      <c r="AM6" s="1950" t="s">
        <v>480</v>
      </c>
      <c r="AO6" s="2316"/>
      <c r="AP6" s="2316" t="str">
        <f>IF(T6="","",T6)</f>
        <v>Схема подключения теплопотребляющей установки к коллектору источника тепловой энергии</v>
      </c>
      <c r="AQ6" s="2316"/>
      <c r="AR6" s="2316"/>
      <c r="AS6" s="2323">
        <v>0</v>
      </c>
    </row>
    <row customHeight="1" ht="21" hidden="1">
      <c r="A7" s="1959"/>
      <c r="B7" s="1959"/>
      <c r="C7" s="1959"/>
      <c r="D7" s="1959"/>
      <c r="E7" s="2982"/>
      <c r="F7" s="2982"/>
      <c r="G7" s="2982"/>
      <c r="H7" s="2982"/>
      <c r="I7" s="2793"/>
      <c r="J7" s="2819">
        <f>I6&amp;".1"</f>
      </c>
      <c r="K7" s="1959"/>
      <c r="L7" s="2002" t="s">
        <v>481</v>
      </c>
      <c r="M7" s="2327"/>
      <c r="N7" s="2323"/>
      <c r="P7" s="2949"/>
      <c r="Q7" s="2949">
        <v>1</v>
      </c>
      <c r="R7" s="1049"/>
      <c r="S7" s="2650">
        <f>$J7</f>
      </c>
      <c r="T7" s="978" t="s">
        <v>482</v>
      </c>
      <c r="U7" s="992"/>
      <c r="V7" s="2937"/>
      <c r="W7" s="2938"/>
      <c r="X7" s="2938"/>
      <c r="Y7" s="2938"/>
      <c r="Z7" s="2938"/>
      <c r="AA7" s="2938"/>
      <c r="AB7" s="2938"/>
      <c r="AC7" s="2939"/>
      <c r="AD7" s="2937"/>
      <c r="AE7" s="2938"/>
      <c r="AF7" s="2938"/>
      <c r="AG7" s="2938"/>
      <c r="AH7" s="2938"/>
      <c r="AI7" s="2938"/>
      <c r="AJ7" s="2938"/>
      <c r="AK7" s="2938"/>
      <c r="AL7" s="2939"/>
      <c r="AM7" s="1950" t="s">
        <v>483</v>
      </c>
      <c r="AO7" s="2316"/>
      <c r="AP7" s="2316" t="str">
        <f>IF(T7="","",T7)</f>
        <v>Группа потребителей</v>
      </c>
      <c r="AQ7" s="2316"/>
      <c r="AR7" s="2316"/>
      <c r="AS7" s="2323">
        <v>0</v>
      </c>
    </row>
    <row customHeight="1" ht="21" hidden="1">
      <c r="A8" s="1959"/>
      <c r="B8" s="1959"/>
      <c r="C8" s="1959"/>
      <c r="D8" s="1959"/>
      <c r="E8" s="2982"/>
      <c r="F8" s="2982"/>
      <c r="G8" s="2982"/>
      <c r="H8" s="2982"/>
      <c r="I8" s="2793"/>
      <c r="J8" s="2793"/>
      <c r="K8" s="2819">
        <f>J7&amp;".1"</f>
      </c>
      <c r="L8" s="2002" t="s">
        <v>484</v>
      </c>
      <c r="M8" s="2327"/>
      <c r="N8" s="2323"/>
      <c r="O8" s="2323"/>
      <c r="P8" s="2949"/>
      <c r="Q8" s="2949"/>
      <c r="R8" s="1049">
        <v>1</v>
      </c>
      <c r="S8" s="2650">
        <f>$K8</f>
      </c>
      <c r="T8" s="2039"/>
      <c r="U8" s="992"/>
      <c r="V8" s="1443"/>
      <c r="W8" s="1017"/>
      <c r="X8" s="1443"/>
      <c r="Y8" s="1949"/>
      <c r="Z8" s="2957"/>
      <c r="AA8" s="2799" t="s">
        <v>67</v>
      </c>
      <c r="AB8" s="2957"/>
      <c r="AC8" s="2799" t="s">
        <v>67</v>
      </c>
      <c r="AD8" s="1443"/>
      <c r="AE8" s="1017"/>
      <c r="AF8" s="1443"/>
      <c r="AG8" s="1949"/>
      <c r="AH8" s="2957"/>
      <c r="AI8" s="2799" t="s">
        <v>67</v>
      </c>
      <c r="AJ8" s="2957"/>
      <c r="AK8" s="2799" t="s">
        <v>67</v>
      </c>
      <c r="AL8" s="1017"/>
      <c r="AM8" s="2945" t="s">
        <v>485</v>
      </c>
      <c r="AN8" s="2328">
        <f>STRCHECKDATE(V9:AL9)</f>
      </c>
      <c r="AO8" s="2316"/>
      <c r="AP8" s="2316" t="str">
        <f>IF(T8="","",T8)</f>
        <v/>
      </c>
      <c r="AQ8" s="2316"/>
      <c r="AR8" s="2316"/>
      <c r="AS8" s="2323">
        <v>0</v>
      </c>
    </row>
    <row customHeight="1" ht="0.75" hidden="1">
      <c r="A9" s="1959"/>
      <c r="B9" s="1959"/>
      <c r="C9" s="1959"/>
      <c r="D9" s="1959"/>
      <c r="E9" s="2982"/>
      <c r="F9" s="2982"/>
      <c r="G9" s="2982"/>
      <c r="H9" s="2982"/>
      <c r="I9" s="2793"/>
      <c r="J9" s="2793"/>
      <c r="K9" s="2819"/>
      <c r="L9" s="2002"/>
      <c r="M9" s="2327"/>
      <c r="N9" s="2323"/>
      <c r="O9" s="2323"/>
      <c r="P9" s="2949"/>
      <c r="Q9" s="2949"/>
      <c r="R9" s="1049"/>
      <c r="S9" s="2659"/>
      <c r="T9" s="992"/>
      <c r="U9" s="992"/>
      <c r="V9" s="1017"/>
      <c r="W9" s="1017"/>
      <c r="X9" s="1017"/>
      <c r="Y9" s="1020" t="str">
        <f>Z8&amp;"-"&amp;AB8</f>
        <v>-</v>
      </c>
      <c r="Z9" s="2958"/>
      <c r="AA9" s="2799"/>
      <c r="AB9" s="2958"/>
      <c r="AC9" s="2799"/>
      <c r="AD9" s="1017"/>
      <c r="AE9" s="1017"/>
      <c r="AF9" s="1017"/>
      <c r="AG9" s="1020" t="str">
        <f>AH8&amp;"-"&amp;AJ8</f>
        <v>-</v>
      </c>
      <c r="AH9" s="2958"/>
      <c r="AI9" s="2799"/>
      <c r="AJ9" s="2958"/>
      <c r="AK9" s="2799"/>
      <c r="AL9" s="1017"/>
      <c r="AM9" s="2946"/>
      <c r="AO9" s="2316"/>
      <c r="AP9" s="2316" t="str">
        <f>IF(T9="","",T9)</f>
        <v/>
      </c>
      <c r="AQ9" s="2316"/>
      <c r="AR9" s="2316"/>
      <c r="AS9" s="2323">
        <v>0</v>
      </c>
    </row>
    <row customHeight="1" ht="15" hidden="1">
      <c r="A10" s="1959"/>
      <c r="B10" s="1959"/>
      <c r="C10" s="1959"/>
      <c r="D10" s="1959"/>
      <c r="E10" s="2982"/>
      <c r="F10" s="2982"/>
      <c r="G10" s="2982"/>
      <c r="H10" s="2982"/>
      <c r="I10" s="2793"/>
      <c r="J10" s="2819"/>
      <c r="K10" s="1959"/>
      <c r="L10" s="2002"/>
      <c r="M10" s="2327"/>
      <c r="N10" s="2323"/>
      <c r="P10" s="2949"/>
      <c r="Q10" s="2949"/>
      <c r="R10" s="1048"/>
      <c r="S10" s="1970"/>
      <c r="T10" s="980" t="s">
        <v>486</v>
      </c>
      <c r="U10" s="1292"/>
      <c r="V10" s="1292"/>
      <c r="W10" s="1292"/>
      <c r="X10" s="1292"/>
      <c r="Y10" s="1292"/>
      <c r="Z10" s="1292"/>
      <c r="AA10" s="1292"/>
      <c r="AB10" s="1292"/>
      <c r="AC10" s="1292"/>
      <c r="AD10" s="1292"/>
      <c r="AE10" s="1292"/>
      <c r="AF10" s="1292"/>
      <c r="AG10" s="1292"/>
      <c r="AH10" s="1292"/>
      <c r="AI10" s="1292"/>
      <c r="AJ10" s="1292"/>
      <c r="AK10" s="1292"/>
      <c r="AL10" s="1016"/>
      <c r="AM10" s="2947"/>
      <c r="AO10" s="2316"/>
      <c r="AP10" s="2316" t="str">
        <f>IF(T10="","",T10)</f>
        <v>Добавить вид теплоносителя (параметры теплоносителя)</v>
      </c>
      <c r="AQ10" s="2316"/>
      <c r="AR10" s="2316"/>
      <c r="AS10" s="2323">
        <v>0</v>
      </c>
    </row>
    <row customHeight="1" ht="15" hidden="1">
      <c r="A11" s="1959"/>
      <c r="B11" s="1959"/>
      <c r="C11" s="1959"/>
      <c r="D11" s="1959"/>
      <c r="E11" s="2982"/>
      <c r="F11" s="2982"/>
      <c r="G11" s="2982"/>
      <c r="H11" s="2982"/>
      <c r="I11" s="2819"/>
      <c r="J11" s="1959"/>
      <c r="K11" s="1959"/>
      <c r="L11" s="2002"/>
      <c r="M11" s="2327"/>
      <c r="P11" s="2949"/>
      <c r="Q11" s="2646"/>
      <c r="R11" s="1048"/>
      <c r="S11" s="1970"/>
      <c r="T11" s="979" t="s">
        <v>487</v>
      </c>
      <c r="U11" s="1292"/>
      <c r="V11" s="1292"/>
      <c r="W11" s="1292"/>
      <c r="X11" s="1292"/>
      <c r="Y11" s="1292"/>
      <c r="Z11" s="1292"/>
      <c r="AA11" s="1292"/>
      <c r="AB11" s="1292"/>
      <c r="AC11" s="1058"/>
      <c r="AD11" s="1292"/>
      <c r="AE11" s="1292"/>
      <c r="AF11" s="1292"/>
      <c r="AG11" s="1292"/>
      <c r="AH11" s="1292"/>
      <c r="AI11" s="1292"/>
      <c r="AJ11" s="1292"/>
      <c r="AK11" s="1058"/>
      <c r="AL11" s="1292"/>
      <c r="AM11" s="995"/>
      <c r="AO11" s="2316"/>
      <c r="AP11" s="2316" t="str">
        <f>IF(T11="","",T11)</f>
        <v>Добавить группу потребителей</v>
      </c>
      <c r="AQ11" s="2316"/>
      <c r="AR11" s="2316"/>
      <c r="AS11" s="2323">
        <v>0</v>
      </c>
    </row>
    <row customHeight="1" ht="14.25" hidden="1">
      <c r="A12" s="1959"/>
      <c r="B12" s="1959"/>
      <c r="C12" s="1959"/>
      <c r="D12" s="1959"/>
      <c r="E12" s="2982"/>
      <c r="F12" s="2982"/>
      <c r="G12" s="2982"/>
      <c r="H12" s="2981"/>
      <c r="I12" s="1959"/>
      <c r="J12" s="1959"/>
      <c r="K12" s="1959"/>
      <c r="L12" s="2002"/>
      <c r="M12" s="2302"/>
      <c r="N12" s="2302"/>
      <c r="O12" s="2327"/>
      <c r="P12" s="1052"/>
      <c r="Q12" s="1067"/>
      <c r="R12" s="1047"/>
      <c r="S12" s="1970"/>
      <c r="T12" s="1057" t="s">
        <v>488</v>
      </c>
      <c r="U12" s="1292"/>
      <c r="V12" s="1292"/>
      <c r="W12" s="1292"/>
      <c r="X12" s="1292"/>
      <c r="Y12" s="1292"/>
      <c r="Z12" s="1292"/>
      <c r="AA12" s="1292"/>
      <c r="AB12" s="1292"/>
      <c r="AC12" s="1058"/>
      <c r="AD12" s="1292"/>
      <c r="AE12" s="1292"/>
      <c r="AF12" s="1292"/>
      <c r="AG12" s="1292"/>
      <c r="AH12" s="1292"/>
      <c r="AI12" s="1292"/>
      <c r="AJ12" s="1292"/>
      <c r="AK12" s="1058"/>
      <c r="AL12" s="1292"/>
      <c r="AM12" s="995"/>
      <c r="AO12" s="2316"/>
      <c r="AP12" s="2316" t="str">
        <f>IF(T12="","",T12)</f>
        <v>Добавить схему подключения</v>
      </c>
      <c r="AQ12" s="2316"/>
      <c r="AR12" s="2316"/>
      <c r="AS12" s="2323">
        <v>0</v>
      </c>
    </row>
    <row s="61695" customFormat="1" customHeight="1" ht="0.75" hidden="1">
      <c r="A13" s="2666"/>
      <c r="B13" s="2666"/>
      <c r="C13" s="2666"/>
      <c r="D13" s="2666"/>
      <c r="E13" s="2982"/>
      <c r="F13" s="2982"/>
      <c r="G13" s="2981"/>
      <c r="H13" s="2666"/>
      <c r="I13" s="2666"/>
      <c r="J13" s="2666"/>
      <c r="K13" s="2666"/>
      <c r="L13" s="2072"/>
      <c r="M13" s="2302"/>
      <c r="N13" s="2302"/>
      <c r="O13" s="2327"/>
      <c r="P13" s="2008"/>
      <c r="Q13" s="2009"/>
      <c r="R13" s="2008"/>
      <c r="S13" s="2010"/>
      <c r="T13" s="2011" t="s">
        <v>171</v>
      </c>
      <c r="U13" s="2012"/>
      <c r="V13" s="2012"/>
      <c r="W13" s="2012"/>
      <c r="X13" s="2012"/>
      <c r="Y13" s="2012"/>
      <c r="Z13" s="2012"/>
      <c r="AA13" s="2012"/>
      <c r="AB13" s="2012"/>
      <c r="AC13" s="2012"/>
      <c r="AD13" s="2012"/>
      <c r="AE13" s="2012"/>
      <c r="AF13" s="2012"/>
      <c r="AG13" s="2012"/>
      <c r="AH13" s="2012"/>
      <c r="AI13" s="2012"/>
      <c r="AJ13" s="2012"/>
      <c r="AK13" s="2012"/>
      <c r="AL13" s="2012"/>
      <c r="AM13" s="2012"/>
      <c r="AO13" s="1943"/>
      <c r="AP13" s="1943" t="str">
        <f>IF(T13="","",T13)</f>
        <v>Добавить источник для дифференциации</v>
      </c>
      <c r="AQ13" s="1943"/>
      <c r="AR13" s="1943"/>
      <c r="AS13" s="2334">
        <v>0</v>
      </c>
    </row>
    <row s="61695" customFormat="1" customHeight="1" ht="0.75" hidden="1">
      <c r="A14" s="2666"/>
      <c r="B14" s="2666"/>
      <c r="C14" s="2666"/>
      <c r="D14" s="2666"/>
      <c r="E14" s="2982"/>
      <c r="F14" s="2981"/>
      <c r="G14" s="2666"/>
      <c r="H14" s="2666"/>
      <c r="I14" s="2666"/>
      <c r="J14" s="2666"/>
      <c r="K14" s="2666"/>
      <c r="L14" s="2072"/>
      <c r="M14" s="2667"/>
      <c r="N14" s="2667"/>
      <c r="O14" s="2327"/>
      <c r="P14" s="2008"/>
      <c r="Q14" s="2009"/>
      <c r="R14" s="2008"/>
      <c r="S14" s="2014"/>
      <c r="T14" s="2015" t="s">
        <v>172</v>
      </c>
      <c r="U14" s="2016"/>
      <c r="V14" s="2016"/>
      <c r="W14" s="2016"/>
      <c r="X14" s="2016"/>
      <c r="Y14" s="2016"/>
      <c r="Z14" s="2016"/>
      <c r="AA14" s="2016"/>
      <c r="AB14" s="2016"/>
      <c r="AC14" s="2016"/>
      <c r="AD14" s="2016"/>
      <c r="AE14" s="2016"/>
      <c r="AF14" s="2016"/>
      <c r="AG14" s="2016"/>
      <c r="AH14" s="2016"/>
      <c r="AI14" s="2016"/>
      <c r="AJ14" s="2016"/>
      <c r="AK14" s="2016"/>
      <c r="AL14" s="2016"/>
      <c r="AM14" s="2016"/>
      <c r="AO14" s="1943"/>
      <c r="AP14" s="1943" t="str">
        <f>IF(T14="","",T14)</f>
        <v>Добавить централизованную систему для дифференциации</v>
      </c>
      <c r="AQ14" s="1943"/>
      <c r="AR14" s="1943"/>
      <c r="AS14" s="2334">
        <v>0</v>
      </c>
    </row>
    <row s="61695" customFormat="1" customHeight="1" ht="0.75" hidden="1">
      <c r="A15" s="2666"/>
      <c r="B15" s="2666"/>
      <c r="C15" s="2666"/>
      <c r="D15" s="2666"/>
      <c r="E15" s="2981"/>
      <c r="F15" s="2666"/>
      <c r="G15" s="2666"/>
      <c r="H15" s="2666"/>
      <c r="I15" s="2666"/>
      <c r="J15" s="2666"/>
      <c r="K15" s="2666"/>
      <c r="L15" s="2072"/>
      <c r="M15" s="2667"/>
      <c r="N15" s="2667"/>
      <c r="O15" s="2327"/>
      <c r="P15" s="2008"/>
      <c r="Q15" s="2009"/>
      <c r="R15" s="2008"/>
      <c r="S15" s="2014"/>
      <c r="T15" s="2017" t="s">
        <v>173</v>
      </c>
      <c r="U15" s="2016"/>
      <c r="V15" s="2016"/>
      <c r="W15" s="2016"/>
      <c r="X15" s="2016"/>
      <c r="Y15" s="2016"/>
      <c r="Z15" s="2016"/>
      <c r="AA15" s="2016"/>
      <c r="AB15" s="2016"/>
      <c r="AC15" s="2016"/>
      <c r="AD15" s="2016"/>
      <c r="AE15" s="2016"/>
      <c r="AF15" s="2016"/>
      <c r="AG15" s="2016"/>
      <c r="AH15" s="2016"/>
      <c r="AI15" s="2016"/>
      <c r="AJ15" s="2016"/>
      <c r="AK15" s="2016"/>
      <c r="AL15" s="2016"/>
      <c r="AM15" s="2016"/>
      <c r="AO15" s="1943"/>
      <c r="AP15" s="1943" t="str">
        <f>IF(T15="","",T15)</f>
        <v>Добавить территорию для дифференциации</v>
      </c>
      <c r="AQ15" s="1943"/>
      <c r="AR15" s="1943"/>
      <c r="AS15" s="2334">
        <v>0</v>
      </c>
    </row>
    <row customHeight="1" ht="14.25" hidden="1">
      <c r="AS16" s="2323">
        <v>0</v>
      </c>
    </row>
    <row customHeight="1" ht="14.25" hidden="1">
      <c r="AD17" s="2052"/>
      <c r="AE17" s="2052"/>
      <c r="AF17" s="2052"/>
      <c r="AG17" s="2053"/>
      <c r="AH17" s="2959"/>
      <c r="AI17" s="2960" t="s">
        <v>67</v>
      </c>
      <c r="AJ17" s="2959"/>
      <c r="AK17" s="2960" t="s">
        <v>67</v>
      </c>
      <c r="AS17" s="2323">
        <v>0</v>
      </c>
    </row>
    <row customHeight="1" ht="14.25" hidden="1">
      <c r="AD18" s="2052"/>
      <c r="AE18" s="2052"/>
      <c r="AF18" s="2052"/>
      <c r="AG18" s="1020" t="str">
        <f>AH17&amp;"-"&amp;AJ17</f>
        <v>-</v>
      </c>
      <c r="AH18" s="2960"/>
      <c r="AI18" s="2960"/>
      <c r="AJ18" s="2960"/>
      <c r="AK18" s="2960"/>
      <c r="AS18" s="2323">
        <v>0</v>
      </c>
    </row>
    <row customHeight="1" ht="14.25" hidden="1">
      <c r="AS19" s="2323">
        <v>0</v>
      </c>
    </row>
    <row s="62148" customFormat="1" customHeight="1" ht="14.25" hidden="1">
      <c r="A20" s="2323"/>
      <c r="B20" s="2323"/>
      <c r="C20" s="2323"/>
      <c r="D20" s="2323"/>
      <c r="E20" s="2323"/>
      <c r="F20" s="2323"/>
      <c r="G20" s="2323"/>
      <c r="H20" s="2323"/>
      <c r="I20" s="2323"/>
      <c r="J20" s="2323"/>
      <c r="K20" s="2323"/>
      <c r="L20" s="2631"/>
      <c r="M20" s="2657"/>
      <c r="N20" s="2657"/>
      <c r="O20" s="2037" t="s">
        <v>489</v>
      </c>
      <c r="P20" s="2054"/>
      <c r="Q20" s="2063"/>
      <c r="R20" s="2063"/>
      <c r="S20" s="1421"/>
      <c r="Z20" s="2059"/>
      <c r="AB20" s="2059"/>
      <c r="AH20" s="2059"/>
      <c r="AJ20" s="2059"/>
      <c r="AN20" s="2328"/>
      <c r="AO20" s="2328"/>
      <c r="AP20" s="2328"/>
      <c r="AQ20" s="2328"/>
      <c r="AR20" s="2328"/>
      <c r="AS20" s="2058">
        <v>0</v>
      </c>
    </row>
    <row s="62148" customFormat="1" customHeight="1" ht="14.25" hidden="1">
      <c r="A21" s="2323"/>
      <c r="B21" s="2323"/>
      <c r="C21" s="2323"/>
      <c r="D21" s="2323"/>
      <c r="E21" s="2323"/>
      <c r="F21" s="2323"/>
      <c r="G21" s="2323"/>
      <c r="H21" s="2323"/>
      <c r="I21" s="2323"/>
      <c r="J21" s="2323"/>
      <c r="K21" s="2323"/>
      <c r="L21" s="2631"/>
      <c r="M21" s="2657"/>
      <c r="N21" s="2657"/>
      <c r="O21" s="2657"/>
      <c r="P21" s="2054"/>
      <c r="Q21" s="2063"/>
      <c r="R21" s="2063"/>
      <c r="S21" s="1421"/>
      <c r="AN21" s="2328"/>
      <c r="AO21" s="2328"/>
      <c r="AP21" s="2328"/>
      <c r="AQ21" s="2328"/>
      <c r="AR21" s="2328"/>
      <c r="AS21" s="2058">
        <v>0</v>
      </c>
    </row>
    <row s="62148" customFormat="1" customHeight="1" ht="14.25" hidden="1">
      <c r="A22" s="2323"/>
      <c r="B22" s="2323"/>
      <c r="C22" s="2323"/>
      <c r="D22" s="2323"/>
      <c r="E22" s="2323"/>
      <c r="F22" s="2323"/>
      <c r="G22" s="2323"/>
      <c r="H22" s="2323"/>
      <c r="I22" s="2323"/>
      <c r="J22" s="2323"/>
      <c r="K22" s="2323"/>
      <c r="L22" s="2631"/>
      <c r="M22" s="2657"/>
      <c r="N22" s="2657"/>
      <c r="O22" s="2002" t="s">
        <v>490</v>
      </c>
      <c r="P22" s="2054"/>
      <c r="Q22" s="2063"/>
      <c r="R22" s="2063"/>
      <c r="S22" s="1421"/>
      <c r="T22" s="2058" t="s">
        <v>491</v>
      </c>
      <c r="AA22" s="1287" t="s">
        <v>492</v>
      </c>
      <c r="AC22" s="1287" t="s">
        <v>493</v>
      </c>
      <c r="AD22" s="2058" t="s">
        <v>491</v>
      </c>
      <c r="AI22" s="1287" t="s">
        <v>494</v>
      </c>
      <c r="AK22" s="1287" t="s">
        <v>493</v>
      </c>
      <c r="AN22" s="2328"/>
      <c r="AO22" s="2328"/>
      <c r="AP22" s="2328"/>
      <c r="AQ22" s="2328"/>
      <c r="AR22" s="2328"/>
      <c r="AS22" s="2058">
        <v>0</v>
      </c>
    </row>
    <row customHeight="1" ht="14.25" hidden="1">
      <c r="O23" s="2002"/>
      <c r="AS23" s="2323">
        <v>0</v>
      </c>
    </row>
    <row customHeight="1" ht="14.25" hidden="1">
      <c r="O24" s="2002"/>
      <c r="AS24" s="2323">
        <v>0</v>
      </c>
    </row>
    <row customHeight="1" ht="14.699999999999998">
      <c r="Q25" s="1068"/>
      <c r="R25" s="1068"/>
      <c r="S25" s="1967"/>
      <c r="T25" s="1149"/>
      <c r="U25" s="1149"/>
      <c r="V25" s="2327"/>
      <c r="W25" s="2327"/>
      <c r="X25" s="2327"/>
      <c r="Y25" s="2327"/>
      <c r="Z25" s="2327"/>
      <c r="AA25" s="2327"/>
      <c r="AB25" s="2327"/>
      <c r="AC25" s="2327"/>
      <c r="AD25" s="2327"/>
      <c r="AE25" s="2327"/>
      <c r="AF25" s="2327"/>
      <c r="AG25" s="2327"/>
      <c r="AH25" s="2327"/>
      <c r="AI25" s="2327"/>
      <c r="AJ25" s="2327"/>
      <c r="AK25" s="2327"/>
      <c r="AS25" s="2323">
        <v>14</v>
      </c>
    </row>
    <row customHeight="1" ht="14.699999999999998">
      <c r="Q26" s="1068"/>
      <c r="R26" s="1068"/>
      <c r="S26" s="294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40"/>
      <c r="U26" s="2940"/>
      <c r="V26" s="2940"/>
      <c r="W26" s="2940"/>
      <c r="X26" s="2940"/>
      <c r="Y26" s="2940"/>
      <c r="Z26" s="2940"/>
      <c r="AA26" s="2940"/>
      <c r="AB26" s="2940"/>
      <c r="AC26" s="2940"/>
      <c r="AD26" s="2940"/>
      <c r="AE26" s="2940"/>
      <c r="AF26" s="2940"/>
      <c r="AG26" s="2940"/>
      <c r="AH26" s="2940"/>
      <c r="AI26" s="2940"/>
      <c r="AJ26" s="2940"/>
      <c r="AK26" s="1935"/>
      <c r="AS26" s="2323">
        <v>14</v>
      </c>
    </row>
    <row customHeight="1" ht="14.699999999999998">
      <c r="Q27" s="1068"/>
      <c r="R27" s="1068"/>
      <c r="S27" s="2941" t="str">
        <f>IF(org=0,"Не определено",org)</f>
        <v>АО "ДГК"</v>
      </c>
      <c r="T27" s="2941"/>
      <c r="U27" s="2941"/>
      <c r="V27" s="2941"/>
      <c r="W27" s="2941"/>
      <c r="X27" s="2941"/>
      <c r="Y27" s="2941"/>
      <c r="Z27" s="2941"/>
      <c r="AA27" s="2941"/>
      <c r="AB27" s="2941"/>
      <c r="AC27" s="2941"/>
      <c r="AD27" s="2941"/>
      <c r="AE27" s="2941"/>
      <c r="AF27" s="2941"/>
      <c r="AG27" s="2941"/>
      <c r="AH27" s="2941"/>
      <c r="AI27" s="2941"/>
      <c r="AJ27" s="2941"/>
      <c r="AK27" s="1935"/>
      <c r="AS27" s="2323">
        <v>14</v>
      </c>
    </row>
    <row customHeight="1" ht="14.25" hidden="1">
      <c r="Q28" s="1068"/>
      <c r="R28" s="1068"/>
      <c r="S28" s="1967"/>
      <c r="T28" s="1149"/>
      <c r="U28" s="1149"/>
      <c r="V28" s="1014"/>
      <c r="W28" s="1014"/>
      <c r="X28" s="1014"/>
      <c r="Y28" s="1014"/>
      <c r="Z28" s="1014"/>
      <c r="AA28" s="1014"/>
      <c r="AB28" s="1014"/>
      <c r="AC28" s="1014"/>
      <c r="AD28" s="1014"/>
      <c r="AE28" s="1014"/>
      <c r="AF28" s="1014"/>
      <c r="AG28" s="1014"/>
      <c r="AH28" s="1014"/>
      <c r="AI28" s="1014"/>
      <c r="AJ28" s="1014"/>
      <c r="AK28" s="1014"/>
      <c r="AL28" s="2327"/>
      <c r="AS28" s="2323">
        <v>0</v>
      </c>
    </row>
    <row s="63055" customFormat="1" customHeight="1" ht="25.5" hidden="1">
      <c r="A29" s="1940"/>
      <c r="B29" s="1940"/>
      <c r="C29" s="1940"/>
      <c r="D29" s="1940"/>
      <c r="E29" s="1940"/>
      <c r="F29" s="1940"/>
      <c r="G29" s="1940"/>
      <c r="H29" s="1940"/>
      <c r="I29" s="1940"/>
      <c r="J29" s="1940"/>
      <c r="K29" s="1940"/>
      <c r="L29" s="2072"/>
      <c r="M29" s="1940"/>
      <c r="N29" s="1940"/>
      <c r="O29" s="1940"/>
      <c r="S29" s="2942" t="s">
        <v>42</v>
      </c>
      <c r="T29" s="2942"/>
      <c r="U29" s="2064"/>
      <c r="V29" s="2943" t="str">
        <f>IF(TITLE_NAME_OR_PR_CHANGE="",IF(TITLE_NAME_OR_PR="","",TITLE_NAME_OR_PR),TITLE_NAME_OR_PR_CHANGE)</f>
        <v/>
      </c>
      <c r="W29" s="2943"/>
      <c r="X29" s="2943"/>
      <c r="Y29" s="2943"/>
      <c r="Z29" s="2943"/>
      <c r="AA29" s="2943"/>
      <c r="AB29" s="2943"/>
      <c r="AC29" s="2327"/>
      <c r="AD29" s="2943" t="str">
        <f>IF(TITLE_NAME_OR_PR_CHANGE="",IF(TITLE_NAME_OR_PR="","",TITLE_NAME_OR_PR),TITLE_NAME_OR_PR_CHANGE)</f>
        <v/>
      </c>
      <c r="AE29" s="2943"/>
      <c r="AF29" s="2943"/>
      <c r="AG29" s="2943"/>
      <c r="AH29" s="2943"/>
      <c r="AI29" s="2943"/>
      <c r="AJ29" s="2943"/>
      <c r="AK29" s="2327"/>
      <c r="AL29" s="2327"/>
      <c r="AM29" s="972"/>
      <c r="AN29" s="1060"/>
      <c r="AO29" s="1060"/>
      <c r="AP29" s="1060"/>
      <c r="AQ29" s="1060"/>
      <c r="AR29" s="1060"/>
      <c r="AS29" s="1110">
        <v>0</v>
      </c>
    </row>
    <row s="63055" customFormat="1" customHeight="1" ht="18.75" hidden="1">
      <c r="A30" s="1940"/>
      <c r="B30" s="1940"/>
      <c r="C30" s="1940"/>
      <c r="D30" s="1940"/>
      <c r="E30" s="1940"/>
      <c r="F30" s="1940"/>
      <c r="G30" s="1940"/>
      <c r="H30" s="1940"/>
      <c r="I30" s="1940"/>
      <c r="J30" s="1940"/>
      <c r="K30" s="1940"/>
      <c r="L30" s="2072"/>
      <c r="M30" s="1940"/>
      <c r="N30" s="1940"/>
      <c r="O30" s="1940"/>
      <c r="S30" s="2942" t="s">
        <v>495</v>
      </c>
      <c r="T30" s="2942"/>
      <c r="U30" s="2064"/>
      <c r="V30" s="2956" t="str">
        <f>IF(TITLE_DATE_PR_CHANGE="",IF(TITLE_DATE_PR="","",TITLE_DATE_PR),TITLE_DATE_PR_CHANGE)</f>
        <v>45981</v>
      </c>
      <c r="W30" s="2956"/>
      <c r="X30" s="2956"/>
      <c r="Y30" s="2956"/>
      <c r="Z30" s="2956"/>
      <c r="AA30" s="2956"/>
      <c r="AB30" s="2956"/>
      <c r="AC30" s="2327"/>
      <c r="AD30" s="2956" t="str">
        <f>IF(TITLE_DATE_PR_CHANGE="",IF(TITLE_DATE_PR="","",TITLE_DATE_PR),TITLE_DATE_PR_CHANGE)</f>
        <v>45981</v>
      </c>
      <c r="AE30" s="2956"/>
      <c r="AF30" s="2956"/>
      <c r="AG30" s="2956"/>
      <c r="AH30" s="2956"/>
      <c r="AI30" s="2956"/>
      <c r="AJ30" s="2956"/>
      <c r="AK30" s="2327"/>
      <c r="AL30" s="2327"/>
      <c r="AM30" s="972"/>
      <c r="AN30" s="1060"/>
      <c r="AO30" s="1060"/>
      <c r="AP30" s="1060"/>
      <c r="AQ30" s="1060"/>
      <c r="AR30" s="1060"/>
      <c r="AS30" s="1110">
        <v>0</v>
      </c>
    </row>
    <row s="63055" customFormat="1" customHeight="1" ht="18.75" hidden="1">
      <c r="A31" s="1940"/>
      <c r="B31" s="1940"/>
      <c r="C31" s="1940"/>
      <c r="D31" s="1940"/>
      <c r="E31" s="1940"/>
      <c r="F31" s="1940"/>
      <c r="G31" s="1940"/>
      <c r="H31" s="1940"/>
      <c r="I31" s="1940"/>
      <c r="J31" s="1940"/>
      <c r="K31" s="1940"/>
      <c r="L31" s="2072"/>
      <c r="M31" s="1940"/>
      <c r="N31" s="1940"/>
      <c r="O31" s="1940"/>
      <c r="S31" s="2942" t="s">
        <v>496</v>
      </c>
      <c r="T31" s="2942"/>
      <c r="U31" s="2064"/>
      <c r="V31" s="2943" t="str">
        <f>IF(TITLE_NUMBER_PR_CHANGE="",IF(TITLE_NUMBER_PR="","",TITLE_NUMBER_PR),TITLE_NUMBER_PR_CHANGE)</f>
        <v>Исх-260/1781</v>
      </c>
      <c r="W31" s="2943"/>
      <c r="X31" s="2943"/>
      <c r="Y31" s="2943"/>
      <c r="Z31" s="2943"/>
      <c r="AA31" s="2943"/>
      <c r="AB31" s="2943"/>
      <c r="AC31" s="2327"/>
      <c r="AD31" s="2943" t="str">
        <f>IF(TITLE_NUMBER_PR_CHANGE="",IF(TITLE_NUMBER_PR="","",TITLE_NUMBER_PR),TITLE_NUMBER_PR_CHANGE)</f>
        <v>Исх-260/1781</v>
      </c>
      <c r="AE31" s="2943"/>
      <c r="AF31" s="2943"/>
      <c r="AG31" s="2943"/>
      <c r="AH31" s="2943"/>
      <c r="AI31" s="2943"/>
      <c r="AJ31" s="2943"/>
      <c r="AK31" s="2327"/>
      <c r="AL31" s="2327"/>
      <c r="AM31" s="972"/>
      <c r="AN31" s="1060"/>
      <c r="AO31" s="1060"/>
      <c r="AP31" s="1060"/>
      <c r="AQ31" s="1060"/>
      <c r="AR31" s="1060"/>
      <c r="AS31" s="1110">
        <v>0</v>
      </c>
    </row>
    <row s="63055" customFormat="1" customHeight="1" ht="18.75" hidden="1">
      <c r="A32" s="1940"/>
      <c r="B32" s="1940"/>
      <c r="C32" s="1940"/>
      <c r="D32" s="1940"/>
      <c r="E32" s="1940"/>
      <c r="F32" s="1940"/>
      <c r="G32" s="1940"/>
      <c r="H32" s="1940"/>
      <c r="I32" s="1940"/>
      <c r="J32" s="1940"/>
      <c r="K32" s="1940"/>
      <c r="L32" s="2072"/>
      <c r="M32" s="1940"/>
      <c r="N32" s="1940"/>
      <c r="O32" s="1940"/>
      <c r="S32" s="2942" t="s">
        <v>43</v>
      </c>
      <c r="T32" s="2942"/>
      <c r="U32" s="2064"/>
      <c r="V32" s="2943" t="str">
        <f>IF(TITLE_IST_PUB_CHANGE="",IF(TITLE_IST_PUB="","",TITLE_IST_PUB),TITLE_IST_PUB_CHANGE)</f>
        <v/>
      </c>
      <c r="W32" s="2943"/>
      <c r="X32" s="2943"/>
      <c r="Y32" s="2943"/>
      <c r="Z32" s="2943"/>
      <c r="AA32" s="2943"/>
      <c r="AB32" s="2943"/>
      <c r="AC32" s="2327"/>
      <c r="AD32" s="2943" t="str">
        <f>IF(TITLE_IST_PUB_CHANGE="",IF(TITLE_IST_PUB="","",TITLE_IST_PUB),TITLE_IST_PUB_CHANGE)</f>
        <v/>
      </c>
      <c r="AE32" s="2943"/>
      <c r="AF32" s="2943"/>
      <c r="AG32" s="2943"/>
      <c r="AH32" s="2943"/>
      <c r="AI32" s="2943"/>
      <c r="AJ32" s="2943"/>
      <c r="AK32" s="2327"/>
      <c r="AL32" s="2327"/>
      <c r="AM32" s="972"/>
      <c r="AN32" s="1060"/>
      <c r="AO32" s="1060"/>
      <c r="AP32" s="1060"/>
      <c r="AQ32" s="1060"/>
      <c r="AR32" s="1060"/>
      <c r="AS32" s="1110">
        <v>0</v>
      </c>
    </row>
    <row customHeight="1" ht="14.25" hidden="1">
      <c r="Q33" s="1068"/>
      <c r="R33" s="1068"/>
      <c r="S33" s="1967"/>
      <c r="T33" s="1149"/>
      <c r="U33" s="1149"/>
      <c r="V33" s="1014"/>
      <c r="W33" s="1014"/>
      <c r="X33" s="1014"/>
      <c r="Y33" s="1014"/>
      <c r="Z33" s="1014"/>
      <c r="AA33" s="1014"/>
      <c r="AB33" s="1014"/>
      <c r="AC33" s="1014"/>
      <c r="AD33" s="1014"/>
      <c r="AE33" s="1014"/>
      <c r="AF33" s="1014"/>
      <c r="AG33" s="1014"/>
      <c r="AH33" s="1014"/>
      <c r="AI33" s="1014"/>
      <c r="AJ33" s="1014"/>
      <c r="AK33" s="1014"/>
      <c r="AL33" s="2327"/>
      <c r="AS33" s="2323">
        <v>0</v>
      </c>
    </row>
    <row s="63055" customFormat="1" customHeight="1" ht="18.75" hidden="1">
      <c r="A34" s="1940"/>
      <c r="B34" s="1940"/>
      <c r="C34" s="1940"/>
      <c r="D34" s="1940"/>
      <c r="E34" s="1940"/>
      <c r="F34" s="1940"/>
      <c r="G34" s="1940"/>
      <c r="H34" s="1940"/>
      <c r="I34" s="1940"/>
      <c r="J34" s="1940"/>
      <c r="K34" s="1940"/>
      <c r="L34" s="2072"/>
      <c r="M34" s="1940"/>
      <c r="N34" s="1940"/>
      <c r="O34" s="1940"/>
      <c r="S34" s="2942" t="s">
        <v>497</v>
      </c>
      <c r="T34" s="2942"/>
      <c r="U34" s="2064"/>
      <c r="V34" s="2956" t="str">
        <f>IF(TITLE_DATE_PR_CHANGE="",IF(TITLE_DATE_PR="","",TITLE_DATE_PR),TITLE_DATE_PR_CHANGE)</f>
        <v>45981</v>
      </c>
      <c r="W34" s="2956"/>
      <c r="X34" s="2956"/>
      <c r="Y34" s="2956"/>
      <c r="Z34" s="2956"/>
      <c r="AA34" s="2956"/>
      <c r="AB34" s="2956"/>
      <c r="AC34" s="2327"/>
      <c r="AD34" s="2956" t="str">
        <f>IF(TITLE_DATE_PR_CHANGE="",IF(TITLE_DATE_PR="","",TITLE_DATE_PR),TITLE_DATE_PR_CHANGE)</f>
        <v>45981</v>
      </c>
      <c r="AE34" s="2956"/>
      <c r="AF34" s="2956"/>
      <c r="AG34" s="2956"/>
      <c r="AH34" s="2956"/>
      <c r="AI34" s="2956"/>
      <c r="AJ34" s="2956"/>
      <c r="AK34" s="2327"/>
      <c r="AL34" s="2327"/>
      <c r="AM34" s="972"/>
      <c r="AN34" s="1060"/>
      <c r="AO34" s="1060"/>
      <c r="AP34" s="1060"/>
      <c r="AQ34" s="1060"/>
      <c r="AR34" s="1060"/>
      <c r="AS34" s="1110">
        <v>0</v>
      </c>
    </row>
    <row s="63055" customFormat="1" customHeight="1" ht="18.75" hidden="1">
      <c r="A35" s="1940"/>
      <c r="B35" s="1940"/>
      <c r="C35" s="1940"/>
      <c r="D35" s="1940"/>
      <c r="E35" s="1940"/>
      <c r="F35" s="1940"/>
      <c r="G35" s="1940"/>
      <c r="H35" s="1940"/>
      <c r="I35" s="1940"/>
      <c r="J35" s="1940"/>
      <c r="K35" s="1940"/>
      <c r="L35" s="2072"/>
      <c r="M35" s="1940"/>
      <c r="N35" s="1940"/>
      <c r="O35" s="1940"/>
      <c r="S35" s="2942" t="s">
        <v>498</v>
      </c>
      <c r="T35" s="2942"/>
      <c r="U35" s="2064"/>
      <c r="V35" s="2943" t="str">
        <f>IF(TITLE_NUMBER_PR_CHANGE="",IF(TITLE_NUMBER_PR="","",TITLE_NUMBER_PR),TITLE_NUMBER_PR_CHANGE)</f>
        <v>Исх-260/1781</v>
      </c>
      <c r="W35" s="2943"/>
      <c r="X35" s="2943"/>
      <c r="Y35" s="2943"/>
      <c r="Z35" s="2943"/>
      <c r="AA35" s="2943"/>
      <c r="AB35" s="2943"/>
      <c r="AC35" s="2327"/>
      <c r="AD35" s="2943" t="str">
        <f>IF(TITLE_NUMBER_PR_CHANGE="",IF(TITLE_NUMBER_PR="","",TITLE_NUMBER_PR),TITLE_NUMBER_PR_CHANGE)</f>
        <v>Исх-260/1781</v>
      </c>
      <c r="AE35" s="2943"/>
      <c r="AF35" s="2943"/>
      <c r="AG35" s="2943"/>
      <c r="AH35" s="2943"/>
      <c r="AI35" s="2943"/>
      <c r="AJ35" s="2943"/>
      <c r="AK35" s="2327"/>
      <c r="AL35" s="2327"/>
      <c r="AM35" s="972"/>
      <c r="AN35" s="1060"/>
      <c r="AO35" s="1060"/>
      <c r="AP35" s="1060"/>
      <c r="AQ35" s="1060"/>
      <c r="AR35" s="1060"/>
      <c r="AS35" s="1110">
        <v>0</v>
      </c>
    </row>
    <row s="63055" customFormat="1" customHeight="1" ht="0">
      <c r="A36" s="1940"/>
      <c r="B36" s="1940"/>
      <c r="C36" s="1940"/>
      <c r="D36" s="1940"/>
      <c r="E36" s="1940"/>
      <c r="F36" s="1940"/>
      <c r="G36" s="1940"/>
      <c r="H36" s="1940"/>
      <c r="I36" s="1940"/>
      <c r="J36" s="1940"/>
      <c r="K36" s="1940"/>
      <c r="L36" s="2072"/>
      <c r="M36" s="1940"/>
      <c r="N36" s="1940"/>
      <c r="O36" s="1940"/>
      <c r="S36" s="2327"/>
      <c r="T36" s="2327"/>
      <c r="U36" s="2662"/>
      <c r="V36" s="2327"/>
      <c r="W36" s="2327"/>
      <c r="X36" s="2327"/>
      <c r="Y36" s="2327"/>
      <c r="Z36" s="2327"/>
      <c r="AA36" s="2327"/>
      <c r="AB36" s="2327"/>
      <c r="AC36" s="2334" t="s">
        <v>499</v>
      </c>
      <c r="AD36" s="2327"/>
      <c r="AE36" s="2327"/>
      <c r="AF36" s="2327"/>
      <c r="AG36" s="2327"/>
      <c r="AH36" s="2327"/>
      <c r="AI36" s="2327"/>
      <c r="AJ36" s="2327"/>
      <c r="AK36" s="2334" t="s">
        <v>499</v>
      </c>
      <c r="AN36" s="1060"/>
      <c r="AO36" s="1060"/>
      <c r="AP36" s="1060"/>
      <c r="AQ36" s="1060"/>
      <c r="AR36" s="1060"/>
      <c r="AS36" s="1110">
        <v>0</v>
      </c>
    </row>
    <row customHeight="1" ht="14.699999999999998">
      <c r="Q37" s="1068"/>
      <c r="R37" s="1068"/>
      <c r="S37" s="1967"/>
      <c r="T37" s="1149"/>
      <c r="U37" s="1936"/>
      <c r="V37" s="2944"/>
      <c r="W37" s="2944"/>
      <c r="X37" s="2944"/>
      <c r="Y37" s="2944"/>
      <c r="Z37" s="2944"/>
      <c r="AA37" s="2944"/>
      <c r="AB37" s="2944"/>
      <c r="AC37" s="2944"/>
      <c r="AD37" s="2944"/>
      <c r="AE37" s="2944"/>
      <c r="AF37" s="2944"/>
      <c r="AG37" s="2944"/>
      <c r="AH37" s="2944"/>
      <c r="AI37" s="2944"/>
      <c r="AJ37" s="2944"/>
      <c r="AK37" s="2944"/>
      <c r="AS37" s="2323">
        <v>14</v>
      </c>
    </row>
    <row customHeight="1" ht="14.699999999999998">
      <c r="Q38" s="1068"/>
      <c r="R38" s="1068"/>
      <c r="S38" s="2819" t="s">
        <v>375</v>
      </c>
      <c r="T38" s="2819"/>
      <c r="U38" s="2819"/>
      <c r="V38" s="2819"/>
      <c r="W38" s="2819"/>
      <c r="X38" s="2819"/>
      <c r="Y38" s="2819"/>
      <c r="Z38" s="2819"/>
      <c r="AA38" s="2819"/>
      <c r="AB38" s="2819"/>
      <c r="AC38" s="2819"/>
      <c r="AD38" s="2819"/>
      <c r="AE38" s="2819"/>
      <c r="AF38" s="2819"/>
      <c r="AG38" s="2819"/>
      <c r="AH38" s="2819"/>
      <c r="AI38" s="2819"/>
      <c r="AJ38" s="2819"/>
      <c r="AK38" s="2819"/>
      <c r="AL38" s="2819"/>
      <c r="AM38" s="2819" t="s">
        <v>376</v>
      </c>
      <c r="AS38" s="2323">
        <v>14</v>
      </c>
    </row>
    <row customHeight="1" ht="14.699999999999998">
      <c r="Q39" s="1068"/>
      <c r="R39" s="1068"/>
      <c r="S39" s="2965" t="s">
        <v>89</v>
      </c>
      <c r="T39" s="2901" t="s">
        <v>500</v>
      </c>
      <c r="U39" s="1029"/>
      <c r="V39" s="2966" t="s">
        <v>501</v>
      </c>
      <c r="W39" s="2967"/>
      <c r="X39" s="2967"/>
      <c r="Y39" s="2967"/>
      <c r="Z39" s="2967"/>
      <c r="AA39" s="2967"/>
      <c r="AB39" s="2968"/>
      <c r="AC39" s="2969" t="s">
        <v>502</v>
      </c>
      <c r="AD39" s="2966" t="s">
        <v>501</v>
      </c>
      <c r="AE39" s="2967"/>
      <c r="AF39" s="2967"/>
      <c r="AG39" s="2967"/>
      <c r="AH39" s="2967"/>
      <c r="AI39" s="2967"/>
      <c r="AJ39" s="2968"/>
      <c r="AK39" s="2969" t="s">
        <v>503</v>
      </c>
      <c r="AL39" s="2972" t="s">
        <v>504</v>
      </c>
      <c r="AM39" s="2819"/>
      <c r="AS39" s="2323">
        <v>14</v>
      </c>
    </row>
    <row customHeight="1" ht="35.699999999999996">
      <c r="Q40" s="1068"/>
      <c r="R40" s="1068"/>
      <c r="S40" s="2965"/>
      <c r="T40" s="2901"/>
      <c r="U40" s="1723"/>
      <c r="V40" s="2952" t="s">
        <v>505</v>
      </c>
      <c r="W40" s="2975" t="s">
        <v>506</v>
      </c>
      <c r="X40" s="2954" t="s">
        <v>507</v>
      </c>
      <c r="Y40" s="2955"/>
      <c r="Z40" s="2954" t="s">
        <v>523</v>
      </c>
      <c r="AA40" s="2961"/>
      <c r="AB40" s="2955"/>
      <c r="AC40" s="2970"/>
      <c r="AD40" s="2952" t="s">
        <v>505</v>
      </c>
      <c r="AE40" s="2975" t="s">
        <v>506</v>
      </c>
      <c r="AF40" s="2954" t="s">
        <v>507</v>
      </c>
      <c r="AG40" s="2955"/>
      <c r="AH40" s="2954" t="s">
        <v>508</v>
      </c>
      <c r="AI40" s="2961"/>
      <c r="AJ40" s="2955"/>
      <c r="AK40" s="2970"/>
      <c r="AL40" s="2973"/>
      <c r="AM40" s="2819"/>
      <c r="AS40" s="2323">
        <v>34</v>
      </c>
    </row>
    <row customHeight="1" ht="35.699999999999996">
      <c r="A41" s="1958"/>
      <c r="B41" s="1958" t="s">
        <v>143</v>
      </c>
      <c r="C41" s="1958" t="s">
        <v>144</v>
      </c>
      <c r="D41" s="1958" t="s">
        <v>145</v>
      </c>
      <c r="E41" s="2002" t="s">
        <v>509</v>
      </c>
      <c r="F41" s="2002" t="s">
        <v>510</v>
      </c>
      <c r="G41" s="2002" t="s">
        <v>511</v>
      </c>
      <c r="H41" s="2002" t="s">
        <v>512</v>
      </c>
      <c r="I41" s="2002" t="s">
        <v>513</v>
      </c>
      <c r="J41" s="2002" t="s">
        <v>514</v>
      </c>
      <c r="K41" s="2002" t="s">
        <v>515</v>
      </c>
      <c r="L41" s="2002" t="s">
        <v>490</v>
      </c>
      <c r="Q41" s="1068"/>
      <c r="R41" s="1068"/>
      <c r="S41" s="2965"/>
      <c r="T41" s="2901"/>
      <c r="U41" s="994"/>
      <c r="V41" s="2953"/>
      <c r="W41" s="2976"/>
      <c r="X41" s="2630" t="s">
        <v>516</v>
      </c>
      <c r="Y41" s="2630" t="s">
        <v>517</v>
      </c>
      <c r="Z41" s="2630" t="s">
        <v>518</v>
      </c>
      <c r="AA41" s="2962" t="s">
        <v>519</v>
      </c>
      <c r="AB41" s="2963"/>
      <c r="AC41" s="2971"/>
      <c r="AD41" s="2953"/>
      <c r="AE41" s="2976"/>
      <c r="AF41" s="2630" t="s">
        <v>516</v>
      </c>
      <c r="AG41" s="2630" t="s">
        <v>517</v>
      </c>
      <c r="AH41" s="2630" t="s">
        <v>518</v>
      </c>
      <c r="AI41" s="2962" t="s">
        <v>519</v>
      </c>
      <c r="AJ41" s="2963"/>
      <c r="AK41" s="2971"/>
      <c r="AL41" s="2974"/>
      <c r="AM41" s="2819"/>
      <c r="AS41" s="2323">
        <v>34</v>
      </c>
    </row>
    <row s="61193" customFormat="1" customHeight="1" ht="11.25" hidden="1">
      <c r="A42" s="1958"/>
      <c r="B42" s="1958"/>
      <c r="C42" s="1958"/>
      <c r="D42" s="1958"/>
      <c r="E42" s="1958"/>
      <c r="F42" s="1958"/>
      <c r="G42" s="1958"/>
      <c r="H42" s="1958"/>
      <c r="I42" s="1958"/>
      <c r="J42" s="1958"/>
      <c r="K42" s="1958"/>
      <c r="L42" s="2002"/>
      <c r="M42" s="2657"/>
      <c r="N42" s="2657"/>
      <c r="O42" s="2657"/>
      <c r="P42" s="1938"/>
      <c r="Q42" s="1939"/>
      <c r="R42" s="1946">
        <v>1</v>
      </c>
      <c r="S42" s="1969" t="s">
        <v>118</v>
      </c>
      <c r="T42" s="1947" t="s">
        <v>103</v>
      </c>
      <c r="U42" s="1937" t="str">
        <f>OFFSET(U42,0,-1)</f>
        <v>2</v>
      </c>
      <c r="V42" s="2648">
        <f>OFFSET(V42,0,-1)+1</f>
        <v>3</v>
      </c>
      <c r="W42" s="2648"/>
      <c r="X42" s="2648">
        <f>OFFSET(X42,0,-1)+1</f>
        <v>1</v>
      </c>
      <c r="Y42" s="2648">
        <f>OFFSET(Y42,0,-1)+1</f>
        <v>2</v>
      </c>
      <c r="Z42" s="2648">
        <f>OFFSET(Z42,0,-1)+1</f>
        <v>3</v>
      </c>
      <c r="AA42" s="2964">
        <f>OFFSET(AA42,0,-1)+1</f>
        <v>4</v>
      </c>
      <c r="AB42" s="2964"/>
      <c r="AC42" s="2648">
        <f>OFFSET(AC42,0,-2)+1</f>
        <v>5</v>
      </c>
      <c r="AD42" s="2648">
        <f>OFFSET(AD42,0,-1)+1</f>
        <v>6</v>
      </c>
      <c r="AE42" s="2648"/>
      <c r="AF42" s="2648">
        <f>OFFSET(AF42,0,-1)+1</f>
        <v>1</v>
      </c>
      <c r="AG42" s="2648">
        <f>OFFSET(AG42,0,-1)+1</f>
        <v>2</v>
      </c>
      <c r="AH42" s="2648">
        <f>OFFSET(AH42,0,-1)+1</f>
        <v>3</v>
      </c>
      <c r="AI42" s="2964">
        <f>OFFSET(AI42,0,-1)+1</f>
        <v>4</v>
      </c>
      <c r="AJ42" s="2964"/>
      <c r="AK42" s="2648">
        <f>OFFSET(AK42,0,-2)+1</f>
        <v>5</v>
      </c>
      <c r="AL42" s="1937">
        <f>OFFSET(AL42,0,-1)</f>
        <v>5</v>
      </c>
      <c r="AM42" s="2648">
        <f>OFFSET(AM42,0,-1)+1</f>
        <v>6</v>
      </c>
      <c r="AN42" s="2328"/>
      <c r="AO42" s="2328"/>
      <c r="AP42" s="2328"/>
      <c r="AQ42" s="2328"/>
      <c r="AR42" s="2328"/>
      <c r="AS42" s="2333">
        <v>0</v>
      </c>
    </row>
    <row customHeight="1" ht="22.049999999999997">
      <c r="A43" s="1959" t="s">
        <v>287</v>
      </c>
      <c r="B43" s="1959"/>
      <c r="C43" s="1959"/>
      <c r="D43" s="1959"/>
      <c r="E43" s="2981">
        <v>1</v>
      </c>
      <c r="F43" s="1959"/>
      <c r="G43" s="1959"/>
      <c r="H43" s="1959"/>
      <c r="I43" s="1959"/>
      <c r="J43" s="1959"/>
      <c r="K43" s="1959"/>
      <c r="L43" s="2002"/>
      <c r="M43" s="2302"/>
      <c r="N43" s="2302"/>
      <c r="O43" s="2302"/>
      <c r="P43" s="2282"/>
      <c r="Q43" s="1052"/>
      <c r="R43" s="1047"/>
      <c r="S43" s="2650">
        <f>INDEX(PT_DIFFERENTIATION_NUM_NTAR,MATCH(A43,PT_DIFFERENTIATION_NTAR_ID,0))</f>
        <v>0</v>
      </c>
      <c r="T43" s="2217" t="s">
        <v>131</v>
      </c>
      <c r="U43" s="992"/>
      <c r="V43" s="2934"/>
      <c r="W43" s="2935"/>
      <c r="X43" s="2935"/>
      <c r="Y43" s="2935"/>
      <c r="Z43" s="2935"/>
      <c r="AA43" s="2935"/>
      <c r="AB43" s="2935"/>
      <c r="AC43" s="2936"/>
      <c r="AD43" s="2934" t="str">
        <f>INDEX(PT_DIFFERENTIATION_NTAR,MATCH(A43,PT_DIFFERENTIATION_NTAR_ID,0))</f>
        <v/>
      </c>
      <c r="AE43" s="2935"/>
      <c r="AF43" s="2935"/>
      <c r="AG43" s="2935"/>
      <c r="AH43" s="2935"/>
      <c r="AI43" s="2935"/>
      <c r="AJ43" s="2935"/>
      <c r="AK43" s="2935"/>
      <c r="AL43" s="2936"/>
      <c r="AM43" s="195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16"/>
      <c r="AP43" s="2316" t="str">
        <f>IF(T43="","",T43)</f>
        <v>Наименование тарифа</v>
      </c>
      <c r="AQ43" s="2316"/>
      <c r="AR43" s="2316"/>
      <c r="AS43" s="2323">
        <v>21</v>
      </c>
    </row>
    <row customHeight="1" ht="22.049999999999997">
      <c r="A44" s="1959" t="s">
        <v>287</v>
      </c>
      <c r="B44" s="1959" t="s">
        <v>288</v>
      </c>
      <c r="C44" s="1959"/>
      <c r="D44" s="1959"/>
      <c r="E44" s="2982"/>
      <c r="F44" s="2981">
        <v>1</v>
      </c>
      <c r="G44" s="1959"/>
      <c r="H44" s="1959"/>
      <c r="I44" s="1959"/>
      <c r="J44" s="1959"/>
      <c r="K44" s="1959"/>
      <c r="L44" s="2002"/>
      <c r="M44" s="2302"/>
      <c r="N44" s="2302"/>
      <c r="O44" s="2302"/>
      <c r="P44" s="2632"/>
      <c r="Q44" s="1044"/>
      <c r="R44" s="1045"/>
      <c r="S44" s="2650" t="str">
        <f>INDEX(PT_DIFFERENTIATION_NUM_TER,MATCH(B44,PT_DIFFERENTIATION_TER_ID,0))</f>
        <v>.</v>
      </c>
      <c r="T44" s="2214" t="s">
        <v>472</v>
      </c>
      <c r="U44" s="992"/>
      <c r="V44" s="2934"/>
      <c r="W44" s="2935"/>
      <c r="X44" s="2935"/>
      <c r="Y44" s="2935"/>
      <c r="Z44" s="2935"/>
      <c r="AA44" s="2935"/>
      <c r="AB44" s="2935"/>
      <c r="AC44" s="2936"/>
      <c r="AD44" s="2934" t="str">
        <f>INDEX(PT_DIFFERENTIATION_TER,MATCH(B44,PT_DIFFERENTIATION_TER_ID,0))</f>
        <v/>
      </c>
      <c r="AE44" s="2935"/>
      <c r="AF44" s="2935"/>
      <c r="AG44" s="2935"/>
      <c r="AH44" s="2935"/>
      <c r="AI44" s="2935"/>
      <c r="AJ44" s="2935"/>
      <c r="AK44" s="2935"/>
      <c r="AL44" s="2936"/>
      <c r="AM44" s="1950" t="s">
        <v>473</v>
      </c>
      <c r="AO44" s="2316"/>
      <c r="AP44" s="2316" t="str">
        <f>IF(T44="","",T44)</f>
        <v>Территория действия тарифа</v>
      </c>
      <c r="AQ44" s="2316"/>
      <c r="AR44" s="2316"/>
      <c r="AS44" s="2323">
        <v>21</v>
      </c>
    </row>
    <row customHeight="1" ht="24">
      <c r="A45" s="1959" t="s">
        <v>287</v>
      </c>
      <c r="B45" s="1959" t="s">
        <v>288</v>
      </c>
      <c r="C45" s="1959" t="s">
        <v>289</v>
      </c>
      <c r="D45" s="1959"/>
      <c r="E45" s="2982"/>
      <c r="F45" s="2982"/>
      <c r="G45" s="2981">
        <v>1</v>
      </c>
      <c r="H45" s="1959"/>
      <c r="I45" s="1959"/>
      <c r="J45" s="1959"/>
      <c r="K45" s="1959"/>
      <c r="L45" s="2002"/>
      <c r="M45" s="2302"/>
      <c r="N45" s="2302"/>
      <c r="O45" s="2302"/>
      <c r="P45" s="1046"/>
      <c r="Q45" s="1044"/>
      <c r="R45" s="1045"/>
      <c r="S45" s="2650" t="str">
        <f>INDEX(PT_DIFFERENTIATION_NUM_CS,MATCH(C45,PT_DIFFERENTIATION_CS_ID,0))</f>
        <v>..</v>
      </c>
      <c r="T45" s="1001" t="s">
        <v>474</v>
      </c>
      <c r="U45" s="992"/>
      <c r="V45" s="2934"/>
      <c r="W45" s="2935"/>
      <c r="X45" s="2935"/>
      <c r="Y45" s="2935"/>
      <c r="Z45" s="2935"/>
      <c r="AA45" s="2935"/>
      <c r="AB45" s="2935"/>
      <c r="AC45" s="2936"/>
      <c r="AD45" s="2934" t="str">
        <f>INDEX(PT_DIFFERENTIATION_CS,MATCH(C45,PT_DIFFERENTIATION_CS_ID,0))</f>
        <v/>
      </c>
      <c r="AE45" s="2935"/>
      <c r="AF45" s="2935"/>
      <c r="AG45" s="2935"/>
      <c r="AH45" s="2935"/>
      <c r="AI45" s="2935"/>
      <c r="AJ45" s="2935"/>
      <c r="AK45" s="2935"/>
      <c r="AL45" s="2936"/>
      <c r="AM45" s="1950" t="s">
        <v>475</v>
      </c>
      <c r="AO45" s="2316"/>
      <c r="AP45" s="2316" t="str">
        <f>IF(T45="","",T45)</f>
        <v>Наименование системы теплоснабжения </v>
      </c>
      <c r="AQ45" s="2316"/>
      <c r="AR45" s="2316"/>
      <c r="AS45" s="2323">
        <v>23</v>
      </c>
    </row>
    <row customHeight="1" ht="22.049999999999997">
      <c r="A46" s="1959" t="s">
        <v>287</v>
      </c>
      <c r="B46" s="1959" t="s">
        <v>288</v>
      </c>
      <c r="C46" s="1959" t="s">
        <v>289</v>
      </c>
      <c r="D46" s="1959" t="s">
        <v>290</v>
      </c>
      <c r="E46" s="2982"/>
      <c r="F46" s="2982"/>
      <c r="G46" s="2982"/>
      <c r="H46" s="2981">
        <v>1</v>
      </c>
      <c r="I46" s="1959"/>
      <c r="J46" s="1959"/>
      <c r="K46" s="1959"/>
      <c r="L46" s="2002"/>
      <c r="M46" s="2302"/>
      <c r="N46" s="2302"/>
      <c r="O46" s="2302"/>
      <c r="P46" s="1046"/>
      <c r="Q46" s="1044"/>
      <c r="R46" s="1045"/>
      <c r="S46" s="2650" t="str">
        <f>INDEX(PT_DIFFERENTIATION_NUM_IST_TE,MATCH(D46,PT_DIFFERENTIATION_IST_TE_ID,0))</f>
        <v>...</v>
      </c>
      <c r="T46" s="1002" t="s">
        <v>476</v>
      </c>
      <c r="U46" s="992"/>
      <c r="V46" s="2934"/>
      <c r="W46" s="2935"/>
      <c r="X46" s="2935"/>
      <c r="Y46" s="2935"/>
      <c r="Z46" s="2935"/>
      <c r="AA46" s="2935"/>
      <c r="AB46" s="2935"/>
      <c r="AC46" s="2936"/>
      <c r="AD46" s="2934" t="str">
        <f>INDEX(PT_DIFFERENTIATION_IST_TE,MATCH(D46,PT_DIFFERENTIATION_IST_TE_ID,0))</f>
        <v/>
      </c>
      <c r="AE46" s="2935"/>
      <c r="AF46" s="2935"/>
      <c r="AG46" s="2935"/>
      <c r="AH46" s="2935"/>
      <c r="AI46" s="2935"/>
      <c r="AJ46" s="2935"/>
      <c r="AK46" s="2935"/>
      <c r="AL46" s="2936"/>
      <c r="AM46" s="1950" t="s">
        <v>477</v>
      </c>
      <c r="AO46" s="2316"/>
      <c r="AP46" s="2316" t="str">
        <f>IF(T46="","",T46)</f>
        <v>Источник тепловой энергии  </v>
      </c>
      <c r="AQ46" s="2316"/>
      <c r="AR46" s="2316"/>
      <c r="AS46" s="2323">
        <v>21</v>
      </c>
    </row>
    <row customHeight="1" ht="49.5">
      <c r="A47" s="1959" t="s">
        <v>287</v>
      </c>
      <c r="B47" s="1959" t="s">
        <v>288</v>
      </c>
      <c r="C47" s="1959" t="s">
        <v>289</v>
      </c>
      <c r="D47" s="1959" t="s">
        <v>290</v>
      </c>
      <c r="E47" s="2982"/>
      <c r="F47" s="2982"/>
      <c r="G47" s="2982"/>
      <c r="H47" s="2982"/>
      <c r="I47" s="2819" t="str">
        <f>S46&amp;".1"</f>
        <v>....1</v>
      </c>
      <c r="J47" s="1959"/>
      <c r="K47" s="1959"/>
      <c r="L47" s="2002" t="s">
        <v>478</v>
      </c>
      <c r="P47" s="2949">
        <v>1</v>
      </c>
      <c r="Q47" s="2646"/>
      <c r="R47" s="1048"/>
      <c r="S47" s="2650" t="str">
        <f>$I47</f>
        <v>....1</v>
      </c>
      <c r="T47" s="977" t="s">
        <v>479</v>
      </c>
      <c r="U47" s="992"/>
      <c r="V47" s="2937"/>
      <c r="W47" s="2938"/>
      <c r="X47" s="2938"/>
      <c r="Y47" s="2938"/>
      <c r="Z47" s="2938"/>
      <c r="AA47" s="2938"/>
      <c r="AB47" s="2938"/>
      <c r="AC47" s="2939"/>
      <c r="AD47" s="2937"/>
      <c r="AE47" s="2938"/>
      <c r="AF47" s="2938"/>
      <c r="AG47" s="2938"/>
      <c r="AH47" s="2938"/>
      <c r="AI47" s="2938"/>
      <c r="AJ47" s="2938"/>
      <c r="AK47" s="2938"/>
      <c r="AL47" s="2939"/>
      <c r="AM47" s="1950" t="s">
        <v>480</v>
      </c>
      <c r="AO47" s="2316"/>
      <c r="AP47" s="2316" t="str">
        <f>IF(T47="","",T47)</f>
        <v>Схема подключения теплопотребляющей установки к коллектору источника тепловой энергии</v>
      </c>
      <c r="AQ47" s="2316"/>
      <c r="AR47" s="2316"/>
      <c r="AS47" s="2323">
        <v>47</v>
      </c>
    </row>
    <row customHeight="1" ht="22.049999999999997">
      <c r="A48" s="1959" t="s">
        <v>287</v>
      </c>
      <c r="B48" s="1959" t="s">
        <v>288</v>
      </c>
      <c r="C48" s="1959" t="s">
        <v>289</v>
      </c>
      <c r="D48" s="1959" t="s">
        <v>290</v>
      </c>
      <c r="E48" s="2982"/>
      <c r="F48" s="2982"/>
      <c r="G48" s="2982"/>
      <c r="H48" s="2982"/>
      <c r="I48" s="2793"/>
      <c r="J48" s="2819" t="str">
        <f>I47&amp;".1"</f>
        <v>....1.1</v>
      </c>
      <c r="K48" s="1959"/>
      <c r="L48" s="2002" t="s">
        <v>481</v>
      </c>
      <c r="P48" s="2949"/>
      <c r="Q48" s="2949">
        <v>1</v>
      </c>
      <c r="R48" s="1049"/>
      <c r="S48" s="2650" t="str">
        <f>$J48</f>
        <v>....1.1</v>
      </c>
      <c r="T48" s="978" t="s">
        <v>482</v>
      </c>
      <c r="U48" s="992"/>
      <c r="V48" s="2937"/>
      <c r="W48" s="2938"/>
      <c r="X48" s="2938"/>
      <c r="Y48" s="2938"/>
      <c r="Z48" s="2938"/>
      <c r="AA48" s="2938"/>
      <c r="AB48" s="2938"/>
      <c r="AC48" s="2939"/>
      <c r="AD48" s="2937"/>
      <c r="AE48" s="2938"/>
      <c r="AF48" s="2938"/>
      <c r="AG48" s="2938"/>
      <c r="AH48" s="2938"/>
      <c r="AI48" s="2938"/>
      <c r="AJ48" s="2938"/>
      <c r="AK48" s="2938"/>
      <c r="AL48" s="2939"/>
      <c r="AM48" s="1950" t="s">
        <v>483</v>
      </c>
      <c r="AO48" s="2316"/>
      <c r="AP48" s="2316" t="str">
        <f>IF(T48="","",T48)</f>
        <v>Группа потребителей</v>
      </c>
      <c r="AQ48" s="2316"/>
      <c r="AR48" s="2316"/>
      <c r="AS48" s="2323">
        <v>21</v>
      </c>
    </row>
    <row customHeight="1" ht="22.049999999999997">
      <c r="A49" s="1959" t="s">
        <v>287</v>
      </c>
      <c r="B49" s="1959" t="s">
        <v>288</v>
      </c>
      <c r="C49" s="1959" t="s">
        <v>289</v>
      </c>
      <c r="D49" s="1959" t="s">
        <v>290</v>
      </c>
      <c r="E49" s="2982"/>
      <c r="F49" s="2982"/>
      <c r="G49" s="2982"/>
      <c r="H49" s="2982"/>
      <c r="I49" s="2793"/>
      <c r="J49" s="2793"/>
      <c r="K49" s="2819" t="str">
        <f>J48&amp;".1"</f>
        <v>....1.1.1</v>
      </c>
      <c r="L49" s="2002" t="s">
        <v>484</v>
      </c>
      <c r="P49" s="2949"/>
      <c r="Q49" s="2949"/>
      <c r="R49" s="1049">
        <v>1</v>
      </c>
      <c r="S49" s="2650" t="str">
        <f>$K49</f>
        <v>....1.1.1</v>
      </c>
      <c r="T49" s="2039"/>
      <c r="U49" s="992"/>
      <c r="V49" s="1443"/>
      <c r="W49" s="1017"/>
      <c r="X49" s="1443"/>
      <c r="Y49" s="1949"/>
      <c r="Z49" s="2957"/>
      <c r="AA49" s="2799" t="s">
        <v>67</v>
      </c>
      <c r="AB49" s="2957"/>
      <c r="AC49" s="2799" t="s">
        <v>67</v>
      </c>
      <c r="AD49" s="1443"/>
      <c r="AE49" s="1017"/>
      <c r="AF49" s="1443"/>
      <c r="AG49" s="1949"/>
      <c r="AH49" s="2957"/>
      <c r="AI49" s="2799" t="s">
        <v>67</v>
      </c>
      <c r="AJ49" s="2979"/>
      <c r="AK49" s="2799" t="s">
        <v>67</v>
      </c>
      <c r="AL49" s="2040"/>
      <c r="AM49" s="2945" t="s">
        <v>485</v>
      </c>
      <c r="AN49" s="2328">
        <f>STRCHECKDATE(V50:AL50)</f>
      </c>
      <c r="AO49" s="2316"/>
      <c r="AP49" s="2316" t="str">
        <f>IF(T49="","",T49)</f>
        <v/>
      </c>
      <c r="AQ49" s="2316"/>
      <c r="AR49" s="2316"/>
      <c r="AS49" s="2323">
        <v>21</v>
      </c>
    </row>
    <row customHeight="1" ht="1.05">
      <c r="A50" s="1959" t="s">
        <v>287</v>
      </c>
      <c r="B50" s="1959" t="s">
        <v>288</v>
      </c>
      <c r="C50" s="1959" t="s">
        <v>289</v>
      </c>
      <c r="D50" s="1959" t="s">
        <v>290</v>
      </c>
      <c r="E50" s="2982"/>
      <c r="F50" s="2982"/>
      <c r="G50" s="2982"/>
      <c r="H50" s="2982"/>
      <c r="I50" s="2793"/>
      <c r="J50" s="2793"/>
      <c r="K50" s="2819"/>
      <c r="L50" s="2002"/>
      <c r="P50" s="2949"/>
      <c r="Q50" s="2949"/>
      <c r="R50" s="1049"/>
      <c r="S50" s="2659"/>
      <c r="T50" s="992"/>
      <c r="U50" s="992"/>
      <c r="V50" s="1017"/>
      <c r="W50" s="1017"/>
      <c r="X50" s="1017"/>
      <c r="Y50" s="1020" t="str">
        <f>Z49&amp;"-"&amp;AB49</f>
        <v>-</v>
      </c>
      <c r="Z50" s="2958"/>
      <c r="AA50" s="2799"/>
      <c r="AB50" s="2958"/>
      <c r="AC50" s="2799"/>
      <c r="AD50" s="1017"/>
      <c r="AE50" s="1017"/>
      <c r="AF50" s="1017"/>
      <c r="AG50" s="1020" t="str">
        <f>AH49&amp;"-"&amp;AJ49</f>
        <v>-</v>
      </c>
      <c r="AH50" s="2958"/>
      <c r="AI50" s="2799"/>
      <c r="AJ50" s="2980"/>
      <c r="AK50" s="2799"/>
      <c r="AL50" s="2041"/>
      <c r="AM50" s="2946"/>
      <c r="AO50" s="2316"/>
      <c r="AP50" s="2316" t="str">
        <f>IF(T50="","",T50)</f>
        <v/>
      </c>
      <c r="AQ50" s="2316"/>
      <c r="AR50" s="2316"/>
      <c r="AS50" s="2323">
        <v>1</v>
      </c>
    </row>
    <row customHeight="1" ht="11.549999999999999">
      <c r="A51" s="1959" t="s">
        <v>287</v>
      </c>
      <c r="B51" s="1959" t="s">
        <v>288</v>
      </c>
      <c r="C51" s="1959" t="s">
        <v>289</v>
      </c>
      <c r="D51" s="1959" t="s">
        <v>290</v>
      </c>
      <c r="E51" s="2982"/>
      <c r="F51" s="2982"/>
      <c r="G51" s="2982"/>
      <c r="H51" s="2982"/>
      <c r="I51" s="2793"/>
      <c r="J51" s="2819"/>
      <c r="K51" s="1959"/>
      <c r="L51" s="2002"/>
      <c r="P51" s="2949"/>
      <c r="Q51" s="2949"/>
      <c r="R51" s="1048"/>
      <c r="S51" s="1970"/>
      <c r="T51" s="980" t="s">
        <v>486</v>
      </c>
      <c r="U51" s="1292"/>
      <c r="V51" s="1292"/>
      <c r="W51" s="1292"/>
      <c r="X51" s="1292"/>
      <c r="Y51" s="1292"/>
      <c r="Z51" s="1292"/>
      <c r="AA51" s="1292"/>
      <c r="AB51" s="1292"/>
      <c r="AC51" s="1292"/>
      <c r="AD51" s="1292"/>
      <c r="AE51" s="1292"/>
      <c r="AF51" s="1292"/>
      <c r="AG51" s="1292"/>
      <c r="AH51" s="1292"/>
      <c r="AI51" s="1292"/>
      <c r="AJ51" s="1292"/>
      <c r="AK51" s="1292"/>
      <c r="AL51" s="1016"/>
      <c r="AM51" s="2947"/>
      <c r="AO51" s="2316"/>
      <c r="AP51" s="2316" t="str">
        <f>IF(T51="","",T51)</f>
        <v>Добавить вид теплоносителя (параметры теплоносителя)</v>
      </c>
      <c r="AQ51" s="2316"/>
      <c r="AR51" s="2316"/>
      <c r="AS51" s="2323">
        <v>11</v>
      </c>
    </row>
    <row customHeight="1" ht="11.549999999999999">
      <c r="A52" s="1959" t="s">
        <v>287</v>
      </c>
      <c r="B52" s="1959" t="s">
        <v>288</v>
      </c>
      <c r="C52" s="1959" t="s">
        <v>289</v>
      </c>
      <c r="D52" s="1959" t="s">
        <v>290</v>
      </c>
      <c r="E52" s="2982"/>
      <c r="F52" s="2982"/>
      <c r="G52" s="2982"/>
      <c r="H52" s="2982"/>
      <c r="I52" s="2819"/>
      <c r="J52" s="1959"/>
      <c r="K52" s="1959"/>
      <c r="L52" s="2002"/>
      <c r="P52" s="2949"/>
      <c r="Q52" s="2646"/>
      <c r="R52" s="1048"/>
      <c r="S52" s="1970"/>
      <c r="T52" s="979" t="s">
        <v>487</v>
      </c>
      <c r="U52" s="1292"/>
      <c r="V52" s="1292"/>
      <c r="W52" s="1292"/>
      <c r="X52" s="1292"/>
      <c r="Y52" s="1292"/>
      <c r="Z52" s="1292"/>
      <c r="AA52" s="1292"/>
      <c r="AB52" s="1292"/>
      <c r="AC52" s="1058"/>
      <c r="AD52" s="1292"/>
      <c r="AE52" s="1292"/>
      <c r="AF52" s="1292"/>
      <c r="AG52" s="1292"/>
      <c r="AH52" s="1292"/>
      <c r="AI52" s="1292"/>
      <c r="AJ52" s="1292"/>
      <c r="AK52" s="1058"/>
      <c r="AL52" s="1292"/>
      <c r="AM52" s="995"/>
      <c r="AO52" s="2316"/>
      <c r="AP52" s="2316" t="str">
        <f>IF(T52="","",T52)</f>
        <v>Добавить группу потребителей</v>
      </c>
      <c r="AQ52" s="2316"/>
      <c r="AR52" s="2316"/>
      <c r="AS52" s="2323">
        <v>11</v>
      </c>
    </row>
    <row customHeight="1" ht="14.699999999999998">
      <c r="A53" s="1959" t="s">
        <v>287</v>
      </c>
      <c r="B53" s="1959" t="s">
        <v>288</v>
      </c>
      <c r="C53" s="1959" t="s">
        <v>289</v>
      </c>
      <c r="D53" s="1959" t="s">
        <v>290</v>
      </c>
      <c r="E53" s="2982"/>
      <c r="F53" s="2982"/>
      <c r="G53" s="2982"/>
      <c r="H53" s="2981"/>
      <c r="I53" s="1959"/>
      <c r="J53" s="1959"/>
      <c r="K53" s="1959"/>
      <c r="L53" s="2002"/>
      <c r="M53" s="2302"/>
      <c r="N53" s="2302"/>
      <c r="O53" s="2327"/>
      <c r="P53" s="1052"/>
      <c r="Q53" s="1067"/>
      <c r="R53" s="1047"/>
      <c r="S53" s="1970"/>
      <c r="T53" s="1057" t="s">
        <v>488</v>
      </c>
      <c r="U53" s="1292"/>
      <c r="V53" s="1292"/>
      <c r="W53" s="1292"/>
      <c r="X53" s="1292"/>
      <c r="Y53" s="1292"/>
      <c r="Z53" s="1292"/>
      <c r="AA53" s="1292"/>
      <c r="AB53" s="1292"/>
      <c r="AC53" s="1058"/>
      <c r="AD53" s="1292"/>
      <c r="AE53" s="1292"/>
      <c r="AF53" s="1292"/>
      <c r="AG53" s="1292"/>
      <c r="AH53" s="1292"/>
      <c r="AI53" s="1292"/>
      <c r="AJ53" s="1292"/>
      <c r="AK53" s="1058"/>
      <c r="AL53" s="1292"/>
      <c r="AM53" s="995"/>
      <c r="AO53" s="2316"/>
      <c r="AP53" s="2316" t="str">
        <f>IF(T53="","",T53)</f>
        <v>Добавить схему подключения</v>
      </c>
      <c r="AQ53" s="2316"/>
      <c r="AR53" s="2316"/>
      <c r="AS53" s="2323">
        <v>14</v>
      </c>
    </row>
    <row s="61695" customFormat="1" customHeight="1" ht="1.05">
      <c r="A54" s="1959" t="s">
        <v>287</v>
      </c>
      <c r="B54" s="1959" t="s">
        <v>288</v>
      </c>
      <c r="C54" s="1959" t="s">
        <v>289</v>
      </c>
      <c r="D54" s="2666"/>
      <c r="E54" s="2982"/>
      <c r="F54" s="2982"/>
      <c r="G54" s="2981"/>
      <c r="H54" s="2666"/>
      <c r="I54" s="2666"/>
      <c r="J54" s="2666"/>
      <c r="K54" s="2666"/>
      <c r="L54" s="2072"/>
      <c r="M54" s="2302"/>
      <c r="N54" s="2302"/>
      <c r="O54" s="2327"/>
      <c r="P54" s="2008"/>
      <c r="Q54" s="2009"/>
      <c r="R54" s="2008"/>
      <c r="S54" s="2014"/>
      <c r="T54" s="2017" t="s">
        <v>171</v>
      </c>
      <c r="U54" s="2016"/>
      <c r="V54" s="2016"/>
      <c r="W54" s="2016"/>
      <c r="X54" s="2016"/>
      <c r="Y54" s="2016"/>
      <c r="Z54" s="2016"/>
      <c r="AA54" s="2016"/>
      <c r="AB54" s="2016"/>
      <c r="AC54" s="2016"/>
      <c r="AD54" s="2016"/>
      <c r="AE54" s="2016"/>
      <c r="AF54" s="2016"/>
      <c r="AG54" s="2016"/>
      <c r="AH54" s="2016"/>
      <c r="AI54" s="2016"/>
      <c r="AJ54" s="2016"/>
      <c r="AK54" s="2016"/>
      <c r="AL54" s="2016"/>
      <c r="AM54" s="2016"/>
      <c r="AO54" s="1943"/>
      <c r="AP54" s="1943" t="str">
        <f>IF(T54="","",T54)</f>
        <v>Добавить источник для дифференциации</v>
      </c>
      <c r="AQ54" s="1943"/>
      <c r="AR54" s="1943"/>
      <c r="AS54" s="2334">
        <v>1</v>
      </c>
    </row>
    <row s="61695" customFormat="1" customHeight="1" ht="1.05">
      <c r="A55" s="1959" t="s">
        <v>287</v>
      </c>
      <c r="B55" s="1959" t="s">
        <v>288</v>
      </c>
      <c r="C55" s="2666"/>
      <c r="D55" s="2666"/>
      <c r="E55" s="2982"/>
      <c r="F55" s="2981"/>
      <c r="G55" s="2666"/>
      <c r="H55" s="2666"/>
      <c r="I55" s="2666"/>
      <c r="J55" s="2666"/>
      <c r="K55" s="2666"/>
      <c r="L55" s="2072"/>
      <c r="M55" s="2667"/>
      <c r="N55" s="2667"/>
      <c r="O55" s="2327"/>
      <c r="P55" s="2008"/>
      <c r="Q55" s="2009"/>
      <c r="R55" s="2008"/>
      <c r="S55" s="2014"/>
      <c r="T55" s="2017" t="s">
        <v>172</v>
      </c>
      <c r="U55" s="2016"/>
      <c r="V55" s="2016"/>
      <c r="W55" s="2016"/>
      <c r="X55" s="2016"/>
      <c r="Y55" s="2016"/>
      <c r="Z55" s="2016"/>
      <c r="AA55" s="2016"/>
      <c r="AB55" s="2016"/>
      <c r="AC55" s="2016"/>
      <c r="AD55" s="2016"/>
      <c r="AE55" s="2016"/>
      <c r="AF55" s="2016"/>
      <c r="AG55" s="2016"/>
      <c r="AH55" s="2016"/>
      <c r="AI55" s="2016"/>
      <c r="AJ55" s="2016"/>
      <c r="AK55" s="2016"/>
      <c r="AL55" s="2016"/>
      <c r="AM55" s="2016"/>
      <c r="AO55" s="1943"/>
      <c r="AP55" s="1943" t="str">
        <f>IF(T55="","",T55)</f>
        <v>Добавить централизованную систему для дифференциации</v>
      </c>
      <c r="AQ55" s="1943"/>
      <c r="AR55" s="1943"/>
      <c r="AS55" s="2334">
        <v>1</v>
      </c>
    </row>
    <row s="61695" customFormat="1" customHeight="1" ht="1.05">
      <c r="A56" s="1959" t="s">
        <v>287</v>
      </c>
      <c r="B56" s="1959"/>
      <c r="C56" s="1959"/>
      <c r="D56" s="1959"/>
      <c r="E56" s="2981"/>
      <c r="F56" s="1959"/>
      <c r="G56" s="1959"/>
      <c r="H56" s="1959"/>
      <c r="I56" s="1959"/>
      <c r="J56" s="1959"/>
      <c r="K56" s="1959"/>
      <c r="L56" s="2002"/>
      <c r="M56" s="2667"/>
      <c r="N56" s="2667"/>
      <c r="O56" s="2327"/>
      <c r="P56" s="1072"/>
      <c r="Q56" s="2036"/>
      <c r="R56" s="1072"/>
      <c r="S56" s="2014"/>
      <c r="T56" s="2017" t="s">
        <v>173</v>
      </c>
      <c r="U56" s="2016"/>
      <c r="V56" s="2016"/>
      <c r="W56" s="2016"/>
      <c r="X56" s="2016"/>
      <c r="Y56" s="2016"/>
      <c r="Z56" s="2016"/>
      <c r="AA56" s="2016"/>
      <c r="AB56" s="2016"/>
      <c r="AC56" s="2016"/>
      <c r="AD56" s="2016"/>
      <c r="AE56" s="2016"/>
      <c r="AF56" s="2016"/>
      <c r="AG56" s="2016"/>
      <c r="AH56" s="2016"/>
      <c r="AI56" s="2016"/>
      <c r="AJ56" s="2016"/>
      <c r="AK56" s="2016"/>
      <c r="AL56" s="2016"/>
      <c r="AM56" s="2016"/>
      <c r="AO56" s="2316"/>
      <c r="AP56" s="2316" t="str">
        <f>IF(T56="","",T56)</f>
        <v>Добавить территорию для дифференциации</v>
      </c>
      <c r="AQ56" s="2316"/>
      <c r="AR56" s="2316"/>
      <c r="AS56" s="2328">
        <v>1</v>
      </c>
    </row>
    <row s="61695" customFormat="1" customHeight="1" ht="1.05">
      <c r="A57" s="2666"/>
      <c r="B57" s="2666"/>
      <c r="C57" s="2666"/>
      <c r="D57" s="2666"/>
      <c r="E57" s="1959"/>
      <c r="F57" s="2666"/>
      <c r="G57" s="2666"/>
      <c r="H57" s="2666"/>
      <c r="I57" s="2666"/>
      <c r="J57" s="2666"/>
      <c r="K57" s="2666"/>
      <c r="L57" s="2072"/>
      <c r="M57" s="2667"/>
      <c r="N57" s="2667"/>
      <c r="O57" s="2327"/>
      <c r="P57" s="2008"/>
      <c r="Q57" s="2009"/>
      <c r="R57" s="2008"/>
      <c r="S57" s="2014"/>
      <c r="T57" s="2017" t="s">
        <v>186</v>
      </c>
      <c r="U57" s="2016"/>
      <c r="V57" s="2016"/>
      <c r="W57" s="2016"/>
      <c r="X57" s="2016"/>
      <c r="Y57" s="2016"/>
      <c r="Z57" s="2016"/>
      <c r="AA57" s="2016"/>
      <c r="AB57" s="2016"/>
      <c r="AC57" s="2016"/>
      <c r="AD57" s="2016"/>
      <c r="AE57" s="2016"/>
      <c r="AF57" s="2016"/>
      <c r="AG57" s="2016"/>
      <c r="AH57" s="2016"/>
      <c r="AI57" s="2016"/>
      <c r="AJ57" s="2016"/>
      <c r="AK57" s="2016"/>
      <c r="AL57" s="2016"/>
      <c r="AM57" s="2016"/>
      <c r="AO57" s="1943"/>
      <c r="AP57" s="1943" t="str">
        <f>IF(T57="","",T57)</f>
        <v>Добавить наименование тарифа</v>
      </c>
      <c r="AQ57" s="1943"/>
      <c r="AR57" s="1943"/>
      <c r="AS57" s="2334">
        <v>1</v>
      </c>
    </row>
    <row customHeight="1" ht="11.549999999999999">
      <c r="M58" s="2323"/>
      <c r="N58" s="2323"/>
      <c r="O58" s="2327"/>
      <c r="P58" s="2323"/>
      <c r="Q58" s="2323"/>
      <c r="R58" s="2323"/>
      <c r="S58" s="2323"/>
      <c r="AN58" s="2323"/>
      <c r="AO58" s="2323"/>
      <c r="AP58" s="2323"/>
      <c r="AQ58" s="2323"/>
      <c r="AR58" s="2323"/>
      <c r="AS58" s="2323">
        <v>11</v>
      </c>
    </row>
    <row customHeight="1" ht="28.5">
      <c r="O59" s="2327"/>
      <c r="S59" s="1945"/>
      <c r="T59" s="2977"/>
      <c r="U59" s="2977"/>
      <c r="V59" s="2977"/>
      <c r="W59" s="2977"/>
      <c r="X59" s="2977"/>
      <c r="Y59" s="2977"/>
      <c r="Z59" s="2977"/>
      <c r="AA59" s="2977"/>
      <c r="AB59" s="2977"/>
      <c r="AC59" s="2977"/>
      <c r="AD59" s="2977"/>
      <c r="AE59" s="2977"/>
      <c r="AF59" s="2977"/>
      <c r="AG59" s="2977"/>
      <c r="AH59" s="2977"/>
      <c r="AI59" s="2977"/>
      <c r="AJ59" s="2977"/>
      <c r="AK59" s="2977"/>
      <c r="AL59" s="2977"/>
      <c r="AM59" s="2977"/>
      <c r="AS59" s="2323">
        <v>27</v>
      </c>
    </row>
    <row customHeight="1" ht="65.25">
      <c r="O60" s="2327"/>
      <c r="T60" s="2977"/>
      <c r="U60" s="2977"/>
      <c r="V60" s="2977"/>
      <c r="W60" s="2977"/>
      <c r="X60" s="2977"/>
      <c r="Y60" s="2977"/>
      <c r="Z60" s="2977"/>
      <c r="AA60" s="2977"/>
      <c r="AB60" s="2977"/>
      <c r="AC60" s="2977"/>
      <c r="AD60" s="2977"/>
      <c r="AE60" s="2977"/>
      <c r="AF60" s="2977"/>
      <c r="AG60" s="2977"/>
      <c r="AH60" s="2977"/>
      <c r="AI60" s="2977"/>
      <c r="AJ60" s="2977"/>
      <c r="AK60" s="2977"/>
      <c r="AL60" s="2977"/>
      <c r="AM60" s="2977"/>
      <c r="AS60" s="2323">
        <v>62</v>
      </c>
    </row>
    <row customHeight="1" ht="14.699999999999998">
      <c r="O61" s="2327"/>
      <c r="AS61" s="2323">
        <v>14</v>
      </c>
    </row>
    <row customHeight="1" ht="18.75">
      <c r="O62" s="2327"/>
      <c r="S62" s="1945"/>
      <c r="T62" s="2977"/>
      <c r="U62" s="2977"/>
      <c r="V62" s="2977"/>
      <c r="W62" s="2977"/>
      <c r="X62" s="2977"/>
      <c r="Y62" s="2977"/>
      <c r="Z62" s="2977"/>
      <c r="AA62" s="2977"/>
      <c r="AB62" s="2977"/>
      <c r="AC62" s="2977"/>
      <c r="AD62" s="2977"/>
      <c r="AE62" s="2977"/>
      <c r="AF62" s="2977"/>
      <c r="AG62" s="2977"/>
      <c r="AH62" s="2977"/>
      <c r="AI62" s="2977"/>
      <c r="AJ62" s="2977"/>
      <c r="AK62" s="2977"/>
      <c r="AL62" s="2977"/>
      <c r="AM62" s="2977"/>
      <c r="AS62" s="2323">
        <v>18</v>
      </c>
    </row>
    <row customHeight="1" ht="18.75">
      <c r="O63" s="2327"/>
      <c r="T63" s="2977"/>
      <c r="U63" s="2977"/>
      <c r="V63" s="2977"/>
      <c r="W63" s="2977"/>
      <c r="X63" s="2977"/>
      <c r="Y63" s="2977"/>
      <c r="Z63" s="2977"/>
      <c r="AA63" s="2977"/>
      <c r="AB63" s="2977"/>
      <c r="AC63" s="2977"/>
      <c r="AD63" s="2977"/>
      <c r="AE63" s="2977"/>
      <c r="AF63" s="2977"/>
      <c r="AG63" s="2977"/>
      <c r="AH63" s="2977"/>
      <c r="AI63" s="2977"/>
      <c r="AJ63" s="2977"/>
      <c r="AK63" s="2977"/>
      <c r="AL63" s="2977"/>
      <c r="AM63" s="2977"/>
      <c r="AS63" s="2323">
        <v>18</v>
      </c>
    </row>
    <row customHeight="1" ht="29.25">
      <c r="O64" s="2327"/>
      <c r="S64" s="1945"/>
      <c r="T64" s="2977"/>
      <c r="U64" s="2977"/>
      <c r="V64" s="2977"/>
      <c r="W64" s="2977"/>
      <c r="X64" s="2977"/>
      <c r="Y64" s="2977"/>
      <c r="Z64" s="2977"/>
      <c r="AA64" s="2977"/>
      <c r="AB64" s="2977"/>
      <c r="AC64" s="2977"/>
      <c r="AD64" s="2977"/>
      <c r="AE64" s="2977"/>
      <c r="AF64" s="2977"/>
      <c r="AG64" s="2977"/>
      <c r="AH64" s="2977"/>
      <c r="AI64" s="2977"/>
      <c r="AJ64" s="2977"/>
      <c r="AK64" s="2977"/>
      <c r="AL64" s="2977"/>
      <c r="AM64" s="2977"/>
      <c r="AS64" s="2323">
        <v>28</v>
      </c>
    </row>
    <row customHeight="1" ht="22.5" hidden="1">
      <c r="A65" s="2323" t="s">
        <v>83</v>
      </c>
      <c r="B65" s="2323">
        <v>0</v>
      </c>
      <c r="C65" s="2323">
        <v>0</v>
      </c>
      <c r="D65" s="2323">
        <v>0</v>
      </c>
      <c r="E65" s="2323">
        <v>0</v>
      </c>
      <c r="F65" s="2323">
        <v>0</v>
      </c>
      <c r="G65" s="2323">
        <v>0</v>
      </c>
      <c r="H65" s="2323">
        <v>0</v>
      </c>
      <c r="I65" s="2323">
        <v>0</v>
      </c>
      <c r="J65" s="2323">
        <v>0</v>
      </c>
      <c r="K65" s="2323">
        <v>0</v>
      </c>
      <c r="L65" s="2631">
        <v>0</v>
      </c>
      <c r="M65" s="2657">
        <v>0</v>
      </c>
      <c r="N65" s="2657">
        <v>0</v>
      </c>
      <c r="O65" s="2657">
        <v>0</v>
      </c>
      <c r="P65" s="2657">
        <v>3</v>
      </c>
      <c r="Q65" s="1036">
        <v>3</v>
      </c>
      <c r="R65" s="1036">
        <v>3</v>
      </c>
      <c r="S65" s="1273">
        <v>12</v>
      </c>
      <c r="T65" s="2323">
        <v>31</v>
      </c>
      <c r="U65" s="2323">
        <v>0</v>
      </c>
      <c r="V65" s="2323">
        <v>0</v>
      </c>
      <c r="W65" s="2323">
        <v>0</v>
      </c>
      <c r="X65" s="2323">
        <v>0</v>
      </c>
      <c r="Y65" s="2323">
        <v>0</v>
      </c>
      <c r="Z65" s="2323">
        <v>0</v>
      </c>
      <c r="AA65" s="2323">
        <v>0</v>
      </c>
      <c r="AB65" s="2323">
        <v>0</v>
      </c>
      <c r="AC65" s="2323">
        <v>0</v>
      </c>
      <c r="AD65" s="2323">
        <v>24</v>
      </c>
      <c r="AE65" s="2323">
        <v>0</v>
      </c>
      <c r="AF65" s="2323">
        <v>24</v>
      </c>
      <c r="AG65" s="2323">
        <v>24</v>
      </c>
      <c r="AH65" s="2323">
        <v>11</v>
      </c>
      <c r="AI65" s="2323">
        <v>3</v>
      </c>
      <c r="AJ65" s="2323">
        <v>11</v>
      </c>
      <c r="AK65" s="2323">
        <v>0</v>
      </c>
      <c r="AL65" s="2323">
        <v>4</v>
      </c>
      <c r="AM65" s="2323">
        <v>115</v>
      </c>
      <c r="AN65" s="2328">
        <v>10</v>
      </c>
      <c r="AO65" s="2328">
        <v>10</v>
      </c>
      <c r="AP65" s="2328">
        <v>10</v>
      </c>
      <c r="AQ65" s="2328">
        <v>10</v>
      </c>
      <c r="AR65" s="2328">
        <v>10</v>
      </c>
      <c r="AS65" s="2323">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BB517C-0D14-1C4E-5815-E095D9D4C46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2.00390625" hidden="1" customWidth="1"/>
    <col min="10" max="10" style="62148" width="9.8515625" hidden="1" customWidth="1"/>
    <col min="11" max="11" style="62148" width="11.421875" hidden="1" customWidth="1"/>
    <col min="12" max="12" style="63164" width="19.140625" hidden="1" customWidth="1"/>
    <col min="13" max="14" style="61371" width="12.28125" hidden="1" customWidth="1"/>
    <col min="15" max="15" style="61371" width="23.421875" hidden="1" customWidth="1"/>
    <col min="16" max="16" style="63184" width="3.00390625" customWidth="1"/>
    <col min="17" max="18" style="62288" width="3.00390625" customWidth="1"/>
    <col min="19" max="19" style="63156" width="12.00390625" customWidth="1"/>
    <col min="20" max="20" style="62286" width="31.00390625" customWidth="1"/>
    <col min="21" max="21" style="62286" width="0.7109375" hidden="1" customWidth="1"/>
    <col min="22" max="22" style="62286" width="1.7109375" hidden="1" customWidth="1"/>
    <col min="23" max="23" style="62286" width="24.7109375" hidden="1" customWidth="1"/>
    <col min="24" max="25" style="62286" width="0.140625" hidden="1" customWidth="1"/>
    <col min="26" max="26" style="62286" width="11.7109375" hidden="1" customWidth="1"/>
    <col min="27" max="27" style="62286" width="3.7109375" hidden="1" customWidth="1"/>
    <col min="28" max="28" style="62286" width="11.7109375" hidden="1" customWidth="1"/>
    <col min="29" max="29" style="62286" width="8.57421875" hidden="1" customWidth="1"/>
    <col min="30" max="30" style="62286" width="0.140625" customWidth="1"/>
    <col min="31" max="31" style="62286" width="24.00390625" customWidth="1"/>
    <col min="32" max="33" style="62286" width="0.140625" customWidth="1"/>
    <col min="34" max="34" style="62286" width="11.00390625" customWidth="1"/>
    <col min="35" max="35" style="62286" width="3.7109375" customWidth="1"/>
    <col min="36" max="36" style="62286" width="11.00390625" customWidth="1"/>
    <col min="37" max="37" style="62286" width="8.57421875" hidden="1" customWidth="1"/>
    <col min="38" max="38" style="62286" width="4.00390625" customWidth="1"/>
    <col min="39" max="39" style="62286" width="115.00390625" customWidth="1"/>
    <col min="40" max="44" style="61695" width="10.00390625" customWidth="1"/>
    <col min="45" max="45" style="62286" width="10.57421875" hidden="1"/>
  </cols>
  <sheetData>
    <row customHeight="1" ht="22.5" hidden="1">
      <c r="Y1" s="1019"/>
      <c r="Z1" s="1019"/>
      <c r="AG1" s="1019"/>
      <c r="AH1" s="1019"/>
      <c r="AS1" s="1847" t="s">
        <v>14</v>
      </c>
    </row>
    <row customHeight="1" ht="21" hidden="1">
      <c r="A2" s="2055"/>
      <c r="B2" s="2055"/>
      <c r="C2" s="2055"/>
      <c r="D2" s="2055"/>
      <c r="E2" s="2950">
        <v>1</v>
      </c>
      <c r="F2" s="2055"/>
      <c r="G2" s="2055"/>
      <c r="H2" s="2055"/>
      <c r="I2" s="2055"/>
      <c r="J2" s="2055"/>
      <c r="K2" s="2055"/>
      <c r="L2" s="2056"/>
      <c r="M2" s="2057"/>
      <c r="N2" s="2057"/>
      <c r="O2" s="2057"/>
      <c r="P2" s="1053"/>
      <c r="Q2" s="1052"/>
      <c r="R2" s="1047"/>
      <c r="S2" s="2028">
        <f>INDEX(PT_DIFFERENTIATION_NUM_NTAR,MATCH(A2,PT_DIFFERENTIATION_NTAR_ID,0))</f>
      </c>
      <c r="T2" s="990" t="s">
        <v>131</v>
      </c>
      <c r="U2" s="992"/>
      <c r="V2" s="2934"/>
      <c r="W2" s="2935"/>
      <c r="X2" s="2935"/>
      <c r="Y2" s="2935"/>
      <c r="Z2" s="2935"/>
      <c r="AA2" s="2935"/>
      <c r="AB2" s="2935"/>
      <c r="AC2" s="2936"/>
      <c r="AD2" s="2934">
        <f>INDEX(PT_DIFFERENTIATION_NTAR,MATCH(A2,PT_DIFFERENTIATION_NTAR_ID,0))</f>
      </c>
      <c r="AE2" s="2935"/>
      <c r="AF2" s="2935"/>
      <c r="AG2" s="2935"/>
      <c r="AH2" s="2935"/>
      <c r="AI2" s="2935"/>
      <c r="AJ2" s="2935"/>
      <c r="AK2" s="2935"/>
      <c r="AL2" s="2936"/>
      <c r="AM2" s="1950" t="s">
        <v>471</v>
      </c>
      <c r="AO2" s="1192"/>
      <c r="AP2" s="1192" t="str">
        <f>IF(T2="","",T2)</f>
        <v>Наименование тарифа</v>
      </c>
      <c r="AQ2" s="1192"/>
      <c r="AR2" s="1192"/>
      <c r="AS2" s="1847">
        <v>0</v>
      </c>
    </row>
    <row customHeight="1" ht="21" hidden="1">
      <c r="A3" s="2055"/>
      <c r="B3" s="2055"/>
      <c r="C3" s="2055"/>
      <c r="D3" s="2055"/>
      <c r="E3" s="2951"/>
      <c r="F3" s="2950">
        <v>1</v>
      </c>
      <c r="G3" s="2055"/>
      <c r="H3" s="2055"/>
      <c r="I3" s="2055"/>
      <c r="J3" s="2055"/>
      <c r="K3" s="2055"/>
      <c r="L3" s="2056"/>
      <c r="M3" s="2057"/>
      <c r="N3" s="2057"/>
      <c r="O3" s="2057"/>
      <c r="P3" s="2024"/>
      <c r="Q3" s="1044"/>
      <c r="R3" s="1045"/>
      <c r="S3" s="2028">
        <f>INDEX(PT_DIFFERENTIATION_NUM_TER,MATCH(B3,PT_DIFFERENTIATION_TER_ID,0))</f>
      </c>
      <c r="T3" s="1000" t="s">
        <v>472</v>
      </c>
      <c r="U3" s="992"/>
      <c r="V3" s="2934"/>
      <c r="W3" s="2935"/>
      <c r="X3" s="2935"/>
      <c r="Y3" s="2935"/>
      <c r="Z3" s="2935"/>
      <c r="AA3" s="2935"/>
      <c r="AB3" s="2935"/>
      <c r="AC3" s="2936"/>
      <c r="AD3" s="2934">
        <f>INDEX(PT_DIFFERENTIATION_TER,MATCH(B3,PT_DIFFERENTIATION_TER_ID,0))</f>
      </c>
      <c r="AE3" s="2935"/>
      <c r="AF3" s="2935"/>
      <c r="AG3" s="2935"/>
      <c r="AH3" s="2935"/>
      <c r="AI3" s="2935"/>
      <c r="AJ3" s="2935"/>
      <c r="AK3" s="2935"/>
      <c r="AL3" s="2936"/>
      <c r="AM3" s="1950" t="s">
        <v>473</v>
      </c>
      <c r="AO3" s="1192"/>
      <c r="AP3" s="1192" t="str">
        <f>IF(T3="","",T3)</f>
        <v>Территория действия тарифа</v>
      </c>
      <c r="AQ3" s="1192"/>
      <c r="AR3" s="1192"/>
      <c r="AS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028">
        <f>INDEX(PT_DIFFERENTIATION_NUM_CS,MATCH(C4,PT_DIFFERENTIATION_CS_ID,0))</f>
      </c>
      <c r="T4" s="1001" t="s">
        <v>474</v>
      </c>
      <c r="U4" s="992"/>
      <c r="V4" s="2934"/>
      <c r="W4" s="2935"/>
      <c r="X4" s="2935"/>
      <c r="Y4" s="2935"/>
      <c r="Z4" s="2935"/>
      <c r="AA4" s="2935"/>
      <c r="AB4" s="2935"/>
      <c r="AC4" s="2936"/>
      <c r="AD4" s="2934">
        <f>INDEX(PT_DIFFERENTIATION_CS,MATCH(C4,PT_DIFFERENTIATION_CS_ID,0))</f>
      </c>
      <c r="AE4" s="2935"/>
      <c r="AF4" s="2935"/>
      <c r="AG4" s="2935"/>
      <c r="AH4" s="2935"/>
      <c r="AI4" s="2935"/>
      <c r="AJ4" s="2935"/>
      <c r="AK4" s="2935"/>
      <c r="AL4" s="2936"/>
      <c r="AM4" s="1950" t="s">
        <v>475</v>
      </c>
      <c r="AO4" s="1192"/>
      <c r="AP4" s="1192" t="str">
        <f>IF(T4="","",T4)</f>
        <v>Наименование системы теплоснабжения </v>
      </c>
      <c r="AQ4" s="1192"/>
      <c r="AR4" s="1192"/>
      <c r="AS4" s="1847">
        <v>0</v>
      </c>
    </row>
    <row customHeight="1" ht="21" hidden="1">
      <c r="A5" s="2055"/>
      <c r="B5" s="2055"/>
      <c r="C5" s="2055"/>
      <c r="D5" s="2055"/>
      <c r="E5" s="2951"/>
      <c r="F5" s="2951"/>
      <c r="G5" s="2951"/>
      <c r="H5" s="2950">
        <v>1</v>
      </c>
      <c r="I5" s="2055"/>
      <c r="J5" s="2055"/>
      <c r="K5" s="2055"/>
      <c r="L5" s="2056"/>
      <c r="M5" s="2057"/>
      <c r="N5" s="2057"/>
      <c r="O5" s="2057"/>
      <c r="P5" s="1046"/>
      <c r="Q5" s="1044"/>
      <c r="R5" s="1045"/>
      <c r="S5" s="2028">
        <f>INDEX(PT_DIFFERENTIATION_NUM_IST_TE,MATCH(D5,PT_DIFFERENTIATION_IST_TE_ID,0))</f>
      </c>
      <c r="T5" s="1002" t="s">
        <v>476</v>
      </c>
      <c r="U5" s="992"/>
      <c r="V5" s="2934"/>
      <c r="W5" s="2935"/>
      <c r="X5" s="2935"/>
      <c r="Y5" s="2935"/>
      <c r="Z5" s="2935"/>
      <c r="AA5" s="2935"/>
      <c r="AB5" s="2935"/>
      <c r="AC5" s="2936"/>
      <c r="AD5" s="2934">
        <f>INDEX(PT_DIFFERENTIATION_IST_TE,MATCH(D5,PT_DIFFERENTIATION_IST_TE_ID,0))</f>
      </c>
      <c r="AE5" s="2935"/>
      <c r="AF5" s="2935"/>
      <c r="AG5" s="2935"/>
      <c r="AH5" s="2935"/>
      <c r="AI5" s="2935"/>
      <c r="AJ5" s="2935"/>
      <c r="AK5" s="2935"/>
      <c r="AL5" s="2936"/>
      <c r="AM5" s="1950" t="s">
        <v>477</v>
      </c>
      <c r="AO5" s="1192"/>
      <c r="AP5" s="1192" t="str">
        <f>IF(T5="","",T5)</f>
        <v>Источник тепловой энергии  </v>
      </c>
      <c r="AQ5" s="1192"/>
      <c r="AR5" s="1192"/>
      <c r="AS5" s="1847">
        <v>0</v>
      </c>
    </row>
    <row customHeight="1" ht="47.25" hidden="1">
      <c r="A6" s="2055"/>
      <c r="B6" s="2055"/>
      <c r="C6" s="2055"/>
      <c r="D6" s="2055"/>
      <c r="E6" s="2951"/>
      <c r="F6" s="2951"/>
      <c r="G6" s="2951"/>
      <c r="H6" s="2951"/>
      <c r="I6" s="2948">
        <f>S5&amp;".1"</f>
      </c>
      <c r="J6" s="2055"/>
      <c r="K6" s="2055"/>
      <c r="L6" s="2056" t="s">
        <v>478</v>
      </c>
      <c r="M6" s="1229"/>
      <c r="P6" s="2949">
        <v>1</v>
      </c>
      <c r="Q6" s="2023"/>
      <c r="R6" s="1048"/>
      <c r="S6" s="2028">
        <f>$I6</f>
      </c>
      <c r="T6" s="977" t="s">
        <v>479</v>
      </c>
      <c r="U6" s="992"/>
      <c r="V6" s="2937"/>
      <c r="W6" s="2938"/>
      <c r="X6" s="2938"/>
      <c r="Y6" s="2938"/>
      <c r="Z6" s="2938"/>
      <c r="AA6" s="2938"/>
      <c r="AB6" s="2938"/>
      <c r="AC6" s="2939"/>
      <c r="AD6" s="2937"/>
      <c r="AE6" s="2938"/>
      <c r="AF6" s="2938"/>
      <c r="AG6" s="2938"/>
      <c r="AH6" s="2938"/>
      <c r="AI6" s="2938"/>
      <c r="AJ6" s="2938"/>
      <c r="AK6" s="2938"/>
      <c r="AL6" s="2939"/>
      <c r="AM6" s="1950" t="s">
        <v>480</v>
      </c>
      <c r="AO6" s="1192"/>
      <c r="AP6" s="1192" t="str">
        <f>IF(T6="","",T6)</f>
        <v>Схема подключения теплопотребляющей установки к коллектору источника тепловой энергии</v>
      </c>
      <c r="AQ6" s="1192"/>
      <c r="AR6" s="1192"/>
      <c r="AS6" s="1847">
        <v>0</v>
      </c>
    </row>
    <row customHeight="1" ht="21" hidden="1">
      <c r="A7" s="2055"/>
      <c r="B7" s="2055"/>
      <c r="C7" s="2055"/>
      <c r="D7" s="2055"/>
      <c r="E7" s="2951"/>
      <c r="F7" s="2951"/>
      <c r="G7" s="2951"/>
      <c r="H7" s="2951"/>
      <c r="I7" s="2978"/>
      <c r="J7" s="2948">
        <f>I6&amp;".1"</f>
      </c>
      <c r="K7" s="2055"/>
      <c r="L7" s="2056" t="s">
        <v>481</v>
      </c>
      <c r="M7" s="1229"/>
      <c r="N7" s="2058"/>
      <c r="P7" s="2949"/>
      <c r="Q7" s="2949">
        <v>1</v>
      </c>
      <c r="R7" s="1049"/>
      <c r="S7" s="2028">
        <f>$J7</f>
      </c>
      <c r="T7" s="978" t="s">
        <v>482</v>
      </c>
      <c r="U7" s="992"/>
      <c r="V7" s="2937"/>
      <c r="W7" s="2938"/>
      <c r="X7" s="2938"/>
      <c r="Y7" s="2938"/>
      <c r="Z7" s="2938"/>
      <c r="AA7" s="2938"/>
      <c r="AB7" s="2938"/>
      <c r="AC7" s="2939"/>
      <c r="AD7" s="2937"/>
      <c r="AE7" s="2938"/>
      <c r="AF7" s="2938"/>
      <c r="AG7" s="2938"/>
      <c r="AH7" s="2938"/>
      <c r="AI7" s="2938"/>
      <c r="AJ7" s="2938"/>
      <c r="AK7" s="2938"/>
      <c r="AL7" s="2939"/>
      <c r="AM7" s="1950" t="s">
        <v>483</v>
      </c>
      <c r="AO7" s="1192"/>
      <c r="AP7" s="1192" t="str">
        <f>IF(T7="","",T7)</f>
        <v>Группа потребителей</v>
      </c>
      <c r="AQ7" s="1192"/>
      <c r="AR7" s="1192"/>
      <c r="AS7" s="1847">
        <v>0</v>
      </c>
    </row>
    <row customHeight="1" ht="21" hidden="1">
      <c r="A8" s="2055"/>
      <c r="B8" s="2055"/>
      <c r="C8" s="2055"/>
      <c r="D8" s="2055"/>
      <c r="E8" s="2951"/>
      <c r="F8" s="2951"/>
      <c r="G8" s="2951"/>
      <c r="H8" s="2951"/>
      <c r="I8" s="2978"/>
      <c r="J8" s="2978"/>
      <c r="K8" s="2948">
        <f>J7&amp;".1"</f>
      </c>
      <c r="L8" s="2056" t="s">
        <v>484</v>
      </c>
      <c r="M8" s="1229"/>
      <c r="N8" s="2058"/>
      <c r="O8" s="2058"/>
      <c r="P8" s="2949"/>
      <c r="Q8" s="2949"/>
      <c r="R8" s="1049">
        <v>1</v>
      </c>
      <c r="S8" s="2028">
        <f>$K8</f>
      </c>
      <c r="T8" s="2039"/>
      <c r="U8" s="992"/>
      <c r="V8" s="1017"/>
      <c r="W8" s="1443"/>
      <c r="X8" s="1017"/>
      <c r="Y8" s="1076"/>
      <c r="Z8" s="2957"/>
      <c r="AA8" s="2799" t="s">
        <v>67</v>
      </c>
      <c r="AB8" s="2957"/>
      <c r="AC8" s="2799" t="s">
        <v>67</v>
      </c>
      <c r="AD8" s="1017"/>
      <c r="AE8" s="1443"/>
      <c r="AF8" s="1017"/>
      <c r="AG8" s="1076"/>
      <c r="AH8" s="2957"/>
      <c r="AI8" s="2799" t="s">
        <v>67</v>
      </c>
      <c r="AJ8" s="2957"/>
      <c r="AK8" s="2799" t="s">
        <v>67</v>
      </c>
      <c r="AL8" s="1017"/>
      <c r="AM8" s="2945" t="s">
        <v>485</v>
      </c>
      <c r="AN8" s="1203">
        <f>STRCHECKDATE(V9:AL9)</f>
      </c>
      <c r="AO8" s="1192"/>
      <c r="AP8" s="1192" t="str">
        <f>IF(T8="","",T8)</f>
        <v/>
      </c>
      <c r="AQ8" s="1192"/>
      <c r="AR8" s="1192"/>
      <c r="AS8" s="1847">
        <v>0</v>
      </c>
    </row>
    <row customHeight="1" ht="0.75" hidden="1">
      <c r="A9" s="2055"/>
      <c r="B9" s="2055"/>
      <c r="C9" s="2055"/>
      <c r="D9" s="2055"/>
      <c r="E9" s="2951"/>
      <c r="F9" s="2951"/>
      <c r="G9" s="2951"/>
      <c r="H9" s="2951"/>
      <c r="I9" s="2978"/>
      <c r="J9" s="2978"/>
      <c r="K9" s="2948"/>
      <c r="L9" s="2056"/>
      <c r="M9" s="1229"/>
      <c r="N9" s="2058"/>
      <c r="O9" s="2058"/>
      <c r="P9" s="2949"/>
      <c r="Q9" s="2949"/>
      <c r="R9" s="1049"/>
      <c r="S9" s="2034"/>
      <c r="T9" s="992"/>
      <c r="U9" s="992"/>
      <c r="V9" s="1017"/>
      <c r="W9" s="1017"/>
      <c r="X9" s="1017"/>
      <c r="Y9" s="1020" t="str">
        <f>Z8&amp;"-"&amp;AB8</f>
        <v>-</v>
      </c>
      <c r="Z9" s="2958"/>
      <c r="AA9" s="2799"/>
      <c r="AB9" s="2958"/>
      <c r="AC9" s="2799"/>
      <c r="AD9" s="1017"/>
      <c r="AE9" s="1017"/>
      <c r="AF9" s="1017"/>
      <c r="AG9" s="1020" t="str">
        <f>AH8&amp;"-"&amp;AJ8</f>
        <v>-</v>
      </c>
      <c r="AH9" s="2958"/>
      <c r="AI9" s="2799"/>
      <c r="AJ9" s="2958"/>
      <c r="AK9" s="2799"/>
      <c r="AL9" s="1017"/>
      <c r="AM9" s="2946"/>
      <c r="AO9" s="1192"/>
      <c r="AP9" s="1192" t="str">
        <f>IF(T9="","",T9)</f>
        <v/>
      </c>
      <c r="AQ9" s="1192"/>
      <c r="AR9" s="1192"/>
      <c r="AS9" s="1847">
        <v>0</v>
      </c>
    </row>
    <row customHeight="1" ht="15" hidden="1">
      <c r="A10" s="2055"/>
      <c r="B10" s="2055"/>
      <c r="C10" s="2055"/>
      <c r="D10" s="2055"/>
      <c r="E10" s="2951"/>
      <c r="F10" s="2951"/>
      <c r="G10" s="2951"/>
      <c r="H10" s="2951"/>
      <c r="I10" s="2978"/>
      <c r="J10" s="2948"/>
      <c r="K10" s="2055"/>
      <c r="L10" s="2056"/>
      <c r="M10" s="1229"/>
      <c r="N10" s="2058"/>
      <c r="P10" s="2949"/>
      <c r="Q10" s="2949"/>
      <c r="R10" s="1048"/>
      <c r="S10" s="1970"/>
      <c r="T10" s="980" t="s">
        <v>486</v>
      </c>
      <c r="U10" s="1059"/>
      <c r="V10" s="1059"/>
      <c r="W10" s="1059"/>
      <c r="X10" s="1059"/>
      <c r="Y10" s="1059"/>
      <c r="Z10" s="1059"/>
      <c r="AA10" s="1059"/>
      <c r="AB10" s="1059"/>
      <c r="AC10" s="1059"/>
      <c r="AD10" s="1059"/>
      <c r="AE10" s="1059"/>
      <c r="AF10" s="1059"/>
      <c r="AG10" s="1059"/>
      <c r="AH10" s="1059"/>
      <c r="AI10" s="1059"/>
      <c r="AJ10" s="1059"/>
      <c r="AK10" s="1059"/>
      <c r="AL10" s="1016"/>
      <c r="AM10" s="2947"/>
      <c r="AO10" s="1192"/>
      <c r="AP10" s="1192" t="str">
        <f>IF(T10="","",T10)</f>
        <v>Добавить вид теплоносителя (параметры теплоносителя)</v>
      </c>
      <c r="AQ10" s="1192"/>
      <c r="AR10" s="1192"/>
      <c r="AS10" s="1847">
        <v>0</v>
      </c>
    </row>
    <row customHeight="1" ht="15" hidden="1">
      <c r="A11" s="2055"/>
      <c r="B11" s="2055"/>
      <c r="C11" s="2055"/>
      <c r="D11" s="2055"/>
      <c r="E11" s="2951"/>
      <c r="F11" s="2951"/>
      <c r="G11" s="2951"/>
      <c r="H11" s="2951"/>
      <c r="I11" s="2948"/>
      <c r="J11" s="2055"/>
      <c r="K11" s="2055"/>
      <c r="L11" s="2056"/>
      <c r="M11" s="1229"/>
      <c r="P11" s="2949"/>
      <c r="Q11" s="2023"/>
      <c r="R11" s="1048"/>
      <c r="S11" s="1970"/>
      <c r="T11" s="979" t="s">
        <v>487</v>
      </c>
      <c r="U11" s="1059"/>
      <c r="V11" s="1059"/>
      <c r="W11" s="1059"/>
      <c r="X11" s="1059"/>
      <c r="Y11" s="1059"/>
      <c r="Z11" s="1059"/>
      <c r="AA11" s="1059"/>
      <c r="AB11" s="1059"/>
      <c r="AC11" s="1058"/>
      <c r="AD11" s="1059"/>
      <c r="AE11" s="1059"/>
      <c r="AF11" s="1059"/>
      <c r="AG11" s="1059"/>
      <c r="AH11" s="1059"/>
      <c r="AI11" s="1059"/>
      <c r="AJ11" s="1059"/>
      <c r="AK11" s="1058"/>
      <c r="AL11" s="1059"/>
      <c r="AM11" s="995"/>
      <c r="AO11" s="1192"/>
      <c r="AP11" s="1192" t="str">
        <f>IF(T11="","",T11)</f>
        <v>Добавить группу потребителей</v>
      </c>
      <c r="AQ11" s="1192"/>
      <c r="AR11" s="1192"/>
      <c r="AS11" s="1847">
        <v>0</v>
      </c>
    </row>
    <row customHeight="1" ht="14.25" hidden="1">
      <c r="A12" s="2055"/>
      <c r="B12" s="2055"/>
      <c r="C12" s="2055"/>
      <c r="D12" s="2055"/>
      <c r="E12" s="2951"/>
      <c r="F12" s="2951"/>
      <c r="G12" s="2951"/>
      <c r="H12" s="2950"/>
      <c r="I12" s="2055"/>
      <c r="J12" s="2055"/>
      <c r="K12" s="2055"/>
      <c r="L12" s="2056"/>
      <c r="M12" s="2057"/>
      <c r="N12" s="2057"/>
      <c r="O12" s="1229"/>
      <c r="P12" s="1052"/>
      <c r="Q12" s="1067"/>
      <c r="R12" s="1047"/>
      <c r="S12" s="1970"/>
      <c r="T12" s="1057" t="s">
        <v>488</v>
      </c>
      <c r="U12" s="1059"/>
      <c r="V12" s="1059"/>
      <c r="W12" s="1059"/>
      <c r="X12" s="1059"/>
      <c r="Y12" s="1059"/>
      <c r="Z12" s="1059"/>
      <c r="AA12" s="1059"/>
      <c r="AB12" s="1059"/>
      <c r="AC12" s="1058"/>
      <c r="AD12" s="1059"/>
      <c r="AE12" s="1059"/>
      <c r="AF12" s="1059"/>
      <c r="AG12" s="1059"/>
      <c r="AH12" s="1059"/>
      <c r="AI12" s="1059"/>
      <c r="AJ12" s="1059"/>
      <c r="AK12" s="1058"/>
      <c r="AL12" s="1059"/>
      <c r="AM12" s="995"/>
      <c r="AO12" s="1192"/>
      <c r="AP12" s="1192" t="str">
        <f>IF(T12="","",T12)</f>
        <v>Добавить схему подключения</v>
      </c>
      <c r="AQ12" s="1192"/>
      <c r="AR12" s="1192"/>
      <c r="AS12" s="1847">
        <v>0</v>
      </c>
    </row>
    <row s="61695" customFormat="1" customHeight="1" ht="0.75" hidden="1">
      <c r="A13" s="2006"/>
      <c r="B13" s="2006"/>
      <c r="C13" s="2006"/>
      <c r="D13" s="2006"/>
      <c r="E13" s="2951"/>
      <c r="F13" s="2951"/>
      <c r="G13" s="2950"/>
      <c r="H13" s="2006"/>
      <c r="I13" s="2006"/>
      <c r="J13" s="2006"/>
      <c r="K13" s="2006"/>
      <c r="L13" s="2031"/>
      <c r="M13" s="2007"/>
      <c r="N13" s="2007"/>
      <c r="P13" s="2008"/>
      <c r="Q13" s="2009"/>
      <c r="R13" s="2008"/>
      <c r="S13" s="2010"/>
      <c r="T13" s="2011" t="s">
        <v>171</v>
      </c>
      <c r="U13" s="2012"/>
      <c r="V13" s="2012"/>
      <c r="W13" s="2012"/>
      <c r="X13" s="2012"/>
      <c r="Y13" s="2012"/>
      <c r="Z13" s="2012"/>
      <c r="AA13" s="2012"/>
      <c r="AB13" s="2012"/>
      <c r="AC13" s="2012"/>
      <c r="AD13" s="2012"/>
      <c r="AE13" s="2012"/>
      <c r="AF13" s="2012"/>
      <c r="AG13" s="2012"/>
      <c r="AH13" s="2012"/>
      <c r="AI13" s="2012"/>
      <c r="AJ13" s="2012"/>
      <c r="AK13" s="2012"/>
      <c r="AL13" s="2012"/>
      <c r="AM13" s="2012"/>
      <c r="AO13" s="1481"/>
      <c r="AP13" s="1481" t="str">
        <f>IF(T13="","",T13)</f>
        <v>Добавить источник для дифференциации</v>
      </c>
      <c r="AQ13" s="1481"/>
      <c r="AR13" s="1481"/>
      <c r="AS13" s="1210">
        <v>0</v>
      </c>
    </row>
    <row s="61695" customFormat="1" customHeight="1" ht="0.75" hidden="1">
      <c r="A14" s="2006"/>
      <c r="B14" s="2006"/>
      <c r="C14" s="2006"/>
      <c r="D14" s="2006"/>
      <c r="E14" s="2951"/>
      <c r="F14" s="2950"/>
      <c r="G14" s="2006"/>
      <c r="H14" s="2006"/>
      <c r="I14" s="2006"/>
      <c r="J14" s="2006"/>
      <c r="K14" s="2006"/>
      <c r="L14" s="2031"/>
      <c r="M14" s="2013"/>
      <c r="N14" s="2013"/>
      <c r="P14" s="2008"/>
      <c r="Q14" s="2009"/>
      <c r="R14" s="2008"/>
      <c r="S14" s="2014"/>
      <c r="T14" s="2015" t="s">
        <v>172</v>
      </c>
      <c r="U14" s="2016"/>
      <c r="V14" s="2016"/>
      <c r="W14" s="2016"/>
      <c r="X14" s="2016"/>
      <c r="Y14" s="2016"/>
      <c r="Z14" s="2016"/>
      <c r="AA14" s="2016"/>
      <c r="AB14" s="2016"/>
      <c r="AC14" s="2016"/>
      <c r="AD14" s="2016"/>
      <c r="AE14" s="2016"/>
      <c r="AF14" s="2016"/>
      <c r="AG14" s="2016"/>
      <c r="AH14" s="2016"/>
      <c r="AI14" s="2016"/>
      <c r="AJ14" s="2016"/>
      <c r="AK14" s="2016"/>
      <c r="AL14" s="2016"/>
      <c r="AM14" s="2016"/>
      <c r="AO14" s="1481"/>
      <c r="AP14" s="1481" t="str">
        <f>IF(T14="","",T14)</f>
        <v>Добавить централизованную систему для дифференциации</v>
      </c>
      <c r="AQ14" s="1481"/>
      <c r="AR14" s="1481"/>
      <c r="AS14" s="1210">
        <v>0</v>
      </c>
    </row>
    <row s="61695" customFormat="1" customHeight="1" ht="0.75" hidden="1">
      <c r="A15" s="2006"/>
      <c r="B15" s="2006"/>
      <c r="C15" s="2006"/>
      <c r="D15" s="2006"/>
      <c r="E15" s="2950"/>
      <c r="F15" s="2006"/>
      <c r="G15" s="2006"/>
      <c r="H15" s="2006"/>
      <c r="I15" s="2006"/>
      <c r="J15" s="2006"/>
      <c r="K15" s="2006"/>
      <c r="L15" s="2031"/>
      <c r="M15" s="2013"/>
      <c r="N15" s="2013"/>
      <c r="P15" s="2008"/>
      <c r="Q15" s="2009"/>
      <c r="R15" s="2008"/>
      <c r="S15" s="2014"/>
      <c r="T15" s="2017" t="s">
        <v>173</v>
      </c>
      <c r="U15" s="2016"/>
      <c r="V15" s="2016"/>
      <c r="W15" s="2016"/>
      <c r="X15" s="2016"/>
      <c r="Y15" s="2016"/>
      <c r="Z15" s="2016"/>
      <c r="AA15" s="2016"/>
      <c r="AB15" s="2016"/>
      <c r="AC15" s="2016"/>
      <c r="AD15" s="2016"/>
      <c r="AE15" s="2016"/>
      <c r="AF15" s="2016"/>
      <c r="AG15" s="2016"/>
      <c r="AH15" s="2016"/>
      <c r="AI15" s="2016"/>
      <c r="AJ15" s="2016"/>
      <c r="AK15" s="2016"/>
      <c r="AL15" s="2016"/>
      <c r="AM15" s="2016"/>
      <c r="AO15" s="1481"/>
      <c r="AP15" s="1481" t="str">
        <f>IF(T15="","",T15)</f>
        <v>Добавить территорию для дифференциации</v>
      </c>
      <c r="AQ15" s="1481"/>
      <c r="AR15" s="1481"/>
      <c r="AS15" s="1210">
        <v>0</v>
      </c>
    </row>
    <row customHeight="1" ht="14.25" hidden="1">
      <c r="AC16" s="1019"/>
      <c r="AK16" s="1019"/>
      <c r="AS16" s="1847">
        <v>0</v>
      </c>
    </row>
    <row customHeight="1" ht="14.25" hidden="1">
      <c r="AD17" s="2052"/>
      <c r="AE17" s="2052"/>
      <c r="AF17" s="2052"/>
      <c r="AG17" s="2053"/>
      <c r="AH17" s="2959"/>
      <c r="AI17" s="2960" t="s">
        <v>67</v>
      </c>
      <c r="AJ17" s="2959"/>
      <c r="AK17" s="2960" t="s">
        <v>67</v>
      </c>
      <c r="AS17" s="1847">
        <v>0</v>
      </c>
    </row>
    <row customHeight="1" ht="14.25" hidden="1">
      <c r="AD18" s="2052"/>
      <c r="AE18" s="2052"/>
      <c r="AF18" s="2052"/>
      <c r="AG18" s="1020" t="str">
        <f>AH17&amp;"-"&amp;AJ17</f>
        <v>-</v>
      </c>
      <c r="AH18" s="2960"/>
      <c r="AI18" s="2960"/>
      <c r="AJ18" s="2960"/>
      <c r="AK18" s="2960"/>
      <c r="AS18" s="1847">
        <v>0</v>
      </c>
    </row>
    <row customHeight="1" ht="14.25" hidden="1">
      <c r="AK19" s="1019"/>
      <c r="AS19" s="1847">
        <v>0</v>
      </c>
    </row>
    <row s="62148" customFormat="1" customHeight="1" ht="22.5" hidden="1">
      <c r="L20" s="2021"/>
      <c r="M20" s="2054"/>
      <c r="N20" s="2054"/>
      <c r="O20" s="2059" t="s">
        <v>489</v>
      </c>
      <c r="P20" s="2054"/>
      <c r="Q20" s="2063"/>
      <c r="R20" s="2063"/>
      <c r="S20" s="1421"/>
      <c r="Z20" s="2059"/>
      <c r="AB20" s="2059"/>
      <c r="AC20" s="2058"/>
      <c r="AH20" s="2059"/>
      <c r="AJ20" s="2059"/>
      <c r="AK20" s="2058"/>
      <c r="AN20" s="1203"/>
      <c r="AO20" s="1203"/>
      <c r="AP20" s="1203"/>
      <c r="AQ20" s="1203"/>
      <c r="AR20" s="1203"/>
      <c r="AS20" s="1852">
        <v>0</v>
      </c>
    </row>
    <row s="62148" customFormat="1" customHeight="1" ht="14.25" hidden="1">
      <c r="L21" s="2021"/>
      <c r="M21" s="2054"/>
      <c r="N21" s="2054"/>
      <c r="O21" s="2054"/>
      <c r="P21" s="2054"/>
      <c r="Q21" s="2063"/>
      <c r="R21" s="2063"/>
      <c r="S21" s="1421"/>
      <c r="AC21" s="2058"/>
      <c r="AK21" s="2058"/>
      <c r="AN21" s="1203"/>
      <c r="AO21" s="1203"/>
      <c r="AP21" s="1203"/>
      <c r="AQ21" s="1203"/>
      <c r="AR21" s="1203"/>
      <c r="AS21" s="1852">
        <v>0</v>
      </c>
    </row>
    <row s="62148" customFormat="1" customHeight="1" ht="33.75" hidden="1">
      <c r="L22" s="2021"/>
      <c r="M22" s="2054"/>
      <c r="N22" s="2054"/>
      <c r="O22" s="2056" t="s">
        <v>490</v>
      </c>
      <c r="P22" s="2054"/>
      <c r="Q22" s="2063"/>
      <c r="R22" s="2063"/>
      <c r="S22" s="1421"/>
      <c r="T22" s="1852" t="s">
        <v>491</v>
      </c>
      <c r="AA22" s="878" t="s">
        <v>492</v>
      </c>
      <c r="AC22" s="878" t="s">
        <v>493</v>
      </c>
      <c r="AD22" s="1852" t="s">
        <v>491</v>
      </c>
      <c r="AI22" s="878" t="s">
        <v>494</v>
      </c>
      <c r="AK22" s="878" t="s">
        <v>493</v>
      </c>
      <c r="AN22" s="1203"/>
      <c r="AO22" s="1203"/>
      <c r="AP22" s="1203"/>
      <c r="AQ22" s="1203"/>
      <c r="AR22" s="1203"/>
      <c r="AS22" s="1852">
        <v>0</v>
      </c>
    </row>
    <row customHeight="1" ht="14.25" hidden="1">
      <c r="O23" s="2056"/>
      <c r="AS23" s="1847">
        <v>0</v>
      </c>
    </row>
    <row customHeight="1" ht="14.25" hidden="1">
      <c r="O24" s="2056"/>
      <c r="AS24" s="1847">
        <v>0</v>
      </c>
    </row>
    <row customHeight="1" ht="14.699999999999998">
      <c r="Q25" s="1068"/>
      <c r="R25" s="1068"/>
      <c r="S25" s="1967"/>
      <c r="T25" s="1055"/>
      <c r="U25" s="1055"/>
      <c r="V25" s="1201"/>
      <c r="W25" s="1201"/>
      <c r="X25" s="1201"/>
      <c r="Y25" s="1201"/>
      <c r="Z25" s="1201"/>
      <c r="AA25" s="1201"/>
      <c r="AB25" s="1201"/>
      <c r="AC25" s="1201"/>
      <c r="AD25" s="1201"/>
      <c r="AE25" s="1201"/>
      <c r="AF25" s="1201"/>
      <c r="AG25" s="1201"/>
      <c r="AH25" s="1201"/>
      <c r="AI25" s="1201"/>
      <c r="AJ25" s="1201"/>
      <c r="AK25" s="1201"/>
      <c r="AS25" s="1847">
        <v>14</v>
      </c>
    </row>
    <row customHeight="1" ht="29.25">
      <c r="Q26" s="1068"/>
      <c r="R26" s="1068"/>
      <c r="S26" s="294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40"/>
      <c r="U26" s="2940"/>
      <c r="V26" s="2940"/>
      <c r="W26" s="2940"/>
      <c r="X26" s="2940"/>
      <c r="Y26" s="2940"/>
      <c r="Z26" s="2940"/>
      <c r="AA26" s="2940"/>
      <c r="AB26" s="2940"/>
      <c r="AC26" s="2940"/>
      <c r="AD26" s="2940"/>
      <c r="AE26" s="2940"/>
      <c r="AF26" s="2940"/>
      <c r="AG26" s="2940"/>
      <c r="AH26" s="2940"/>
      <c r="AI26" s="2940"/>
      <c r="AJ26" s="2940"/>
      <c r="AK26" s="1935"/>
      <c r="AS26" s="1847">
        <v>28</v>
      </c>
    </row>
    <row customHeight="1" ht="14.699999999999998">
      <c r="Q27" s="1068"/>
      <c r="R27" s="1068"/>
      <c r="S27" s="2941" t="str">
        <f>IF(org=0,"Не определено",org)</f>
        <v>АО "ДГК"</v>
      </c>
      <c r="T27" s="2941"/>
      <c r="U27" s="2941"/>
      <c r="V27" s="2941"/>
      <c r="W27" s="2941"/>
      <c r="X27" s="2941"/>
      <c r="Y27" s="2941"/>
      <c r="Z27" s="2941"/>
      <c r="AA27" s="2941"/>
      <c r="AB27" s="2941"/>
      <c r="AC27" s="2941"/>
      <c r="AD27" s="2941"/>
      <c r="AE27" s="2941"/>
      <c r="AF27" s="2941"/>
      <c r="AG27" s="2941"/>
      <c r="AH27" s="2941"/>
      <c r="AI27" s="2941"/>
      <c r="AJ27" s="2941"/>
      <c r="AK27" s="1935"/>
      <c r="AS27" s="1847">
        <v>14</v>
      </c>
    </row>
    <row customHeight="1" ht="14.25" hidden="1">
      <c r="Q28" s="1068"/>
      <c r="R28" s="1068"/>
      <c r="S28" s="1967"/>
      <c r="T28" s="1055"/>
      <c r="U28" s="1055"/>
      <c r="V28" s="1014"/>
      <c r="W28" s="1014"/>
      <c r="X28" s="1014"/>
      <c r="Y28" s="1014"/>
      <c r="Z28" s="1014"/>
      <c r="AA28" s="1014"/>
      <c r="AB28" s="1014"/>
      <c r="AC28" s="1014"/>
      <c r="AD28" s="1014"/>
      <c r="AE28" s="1014"/>
      <c r="AF28" s="1014"/>
      <c r="AG28" s="1014"/>
      <c r="AH28" s="1014"/>
      <c r="AI28" s="1014"/>
      <c r="AJ28" s="1014"/>
      <c r="AK28" s="1014"/>
      <c r="AL28" s="1201"/>
      <c r="AS28" s="1847">
        <v>0</v>
      </c>
    </row>
    <row s="63055" customFormat="1" customHeight="1" ht="25.5" hidden="1">
      <c r="A29" s="2060"/>
      <c r="B29" s="2060"/>
      <c r="C29" s="2060"/>
      <c r="D29" s="2060"/>
      <c r="E29" s="2060"/>
      <c r="F29" s="2060"/>
      <c r="G29" s="2060"/>
      <c r="H29" s="2060"/>
      <c r="I29" s="2060"/>
      <c r="J29" s="2060"/>
      <c r="K29" s="2060"/>
      <c r="L29" s="2061"/>
      <c r="M29" s="2060"/>
      <c r="N29" s="2060"/>
      <c r="O29" s="2060"/>
      <c r="S29" s="2942" t="s">
        <v>42</v>
      </c>
      <c r="T29" s="2942"/>
      <c r="U29" s="2064"/>
      <c r="V29" s="2943" t="str">
        <f>IF(TITLE_NAME_OR_PR_CHANGE="",IF(TITLE_NAME_OR_PR="","",TITLE_NAME_OR_PR),TITLE_NAME_OR_PR_CHANGE)</f>
        <v/>
      </c>
      <c r="W29" s="2943"/>
      <c r="X29" s="2943"/>
      <c r="Y29" s="2943"/>
      <c r="Z29" s="2943"/>
      <c r="AA29" s="2943"/>
      <c r="AB29" s="2943"/>
      <c r="AC29" s="1018"/>
      <c r="AD29" s="2943" t="str">
        <f>IF(TITLE_NAME_OR_PR_CHANGE="",IF(TITLE_NAME_OR_PR="","",TITLE_NAME_OR_PR),TITLE_NAME_OR_PR_CHANGE)</f>
        <v/>
      </c>
      <c r="AE29" s="2943"/>
      <c r="AF29" s="2943"/>
      <c r="AG29" s="2943"/>
      <c r="AH29" s="2943"/>
      <c r="AI29" s="2943"/>
      <c r="AJ29" s="2943"/>
      <c r="AK29" s="1018"/>
      <c r="AL29" s="1018"/>
      <c r="AM29" s="972"/>
      <c r="AN29" s="1060"/>
      <c r="AO29" s="1060"/>
      <c r="AP29" s="1060"/>
      <c r="AQ29" s="1060"/>
      <c r="AR29" s="1060"/>
      <c r="AS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495</v>
      </c>
      <c r="T30" s="2942"/>
      <c r="U30" s="2064"/>
      <c r="V30" s="2956" t="str">
        <f>IF(TITLE_DATE_PR_CHANGE="",IF(TITLE_DATE_PR="","",TITLE_DATE_PR),TITLE_DATE_PR_CHANGE)</f>
        <v>45981</v>
      </c>
      <c r="W30" s="2956"/>
      <c r="X30" s="2956"/>
      <c r="Y30" s="2956"/>
      <c r="Z30" s="2956"/>
      <c r="AA30" s="2956"/>
      <c r="AB30" s="2956"/>
      <c r="AC30" s="1018"/>
      <c r="AD30" s="2956" t="str">
        <f>IF(TITLE_DATE_PR_CHANGE="",IF(TITLE_DATE_PR="","",TITLE_DATE_PR),TITLE_DATE_PR_CHANGE)</f>
        <v>45981</v>
      </c>
      <c r="AE30" s="2956"/>
      <c r="AF30" s="2956"/>
      <c r="AG30" s="2956"/>
      <c r="AH30" s="2956"/>
      <c r="AI30" s="2956"/>
      <c r="AJ30" s="2956"/>
      <c r="AK30" s="1018"/>
      <c r="AL30" s="1018"/>
      <c r="AM30" s="972"/>
      <c r="AN30" s="1060"/>
      <c r="AO30" s="1060"/>
      <c r="AP30" s="1060"/>
      <c r="AQ30" s="1060"/>
      <c r="AR30" s="1060"/>
      <c r="AS30" s="1110">
        <v>0</v>
      </c>
    </row>
    <row s="63055" customFormat="1" customHeight="1" ht="18.75" hidden="1">
      <c r="A31" s="2060"/>
      <c r="B31" s="2060"/>
      <c r="C31" s="2060"/>
      <c r="D31" s="2060"/>
      <c r="E31" s="2060"/>
      <c r="F31" s="2060"/>
      <c r="G31" s="2060"/>
      <c r="H31" s="2060"/>
      <c r="I31" s="2060"/>
      <c r="J31" s="2060"/>
      <c r="K31" s="2060"/>
      <c r="L31" s="2061"/>
      <c r="M31" s="2060"/>
      <c r="N31" s="2060"/>
      <c r="O31" s="2060"/>
      <c r="S31" s="2942" t="s">
        <v>496</v>
      </c>
      <c r="T31" s="2942"/>
      <c r="U31" s="2064"/>
      <c r="V31" s="2943" t="str">
        <f>IF(TITLE_NUMBER_PR_CHANGE="",IF(TITLE_NUMBER_PR="","",TITLE_NUMBER_PR),TITLE_NUMBER_PR_CHANGE)</f>
        <v>Исх-260/1781</v>
      </c>
      <c r="W31" s="2943"/>
      <c r="X31" s="2943"/>
      <c r="Y31" s="2943"/>
      <c r="Z31" s="2943"/>
      <c r="AA31" s="2943"/>
      <c r="AB31" s="2943"/>
      <c r="AC31" s="1018"/>
      <c r="AD31" s="2943" t="str">
        <f>IF(TITLE_NUMBER_PR_CHANGE="",IF(TITLE_NUMBER_PR="","",TITLE_NUMBER_PR),TITLE_NUMBER_PR_CHANGE)</f>
        <v>Исх-260/1781</v>
      </c>
      <c r="AE31" s="2943"/>
      <c r="AF31" s="2943"/>
      <c r="AG31" s="2943"/>
      <c r="AH31" s="2943"/>
      <c r="AI31" s="2943"/>
      <c r="AJ31" s="2943"/>
      <c r="AK31" s="1018"/>
      <c r="AL31" s="1018"/>
      <c r="AM31" s="972"/>
      <c r="AN31" s="1060"/>
      <c r="AO31" s="1060"/>
      <c r="AP31" s="1060"/>
      <c r="AQ31" s="1060"/>
      <c r="AR31" s="1060"/>
      <c r="AS31" s="1110">
        <v>0</v>
      </c>
    </row>
    <row s="63055" customFormat="1" customHeight="1" ht="18.75" hidden="1">
      <c r="A32" s="2060"/>
      <c r="B32" s="2060"/>
      <c r="C32" s="2060"/>
      <c r="D32" s="2060"/>
      <c r="E32" s="2060"/>
      <c r="F32" s="2060"/>
      <c r="G32" s="2060"/>
      <c r="H32" s="2060"/>
      <c r="I32" s="2060"/>
      <c r="J32" s="2060"/>
      <c r="K32" s="2060"/>
      <c r="L32" s="2061"/>
      <c r="M32" s="2060"/>
      <c r="N32" s="2060"/>
      <c r="O32" s="2060"/>
      <c r="S32" s="2942" t="s">
        <v>43</v>
      </c>
      <c r="T32" s="2942"/>
      <c r="U32" s="2064"/>
      <c r="V32" s="2943" t="str">
        <f>IF(TITLE_IST_PUB_CHANGE="",IF(TITLE_IST_PUB="","",TITLE_IST_PUB),TITLE_IST_PUB_CHANGE)</f>
        <v/>
      </c>
      <c r="W32" s="2943"/>
      <c r="X32" s="2943"/>
      <c r="Y32" s="2943"/>
      <c r="Z32" s="2943"/>
      <c r="AA32" s="2943"/>
      <c r="AB32" s="2943"/>
      <c r="AC32" s="1018"/>
      <c r="AD32" s="2943" t="str">
        <f>IF(TITLE_IST_PUB_CHANGE="",IF(TITLE_IST_PUB="","",TITLE_IST_PUB),TITLE_IST_PUB_CHANGE)</f>
        <v/>
      </c>
      <c r="AE32" s="2943"/>
      <c r="AF32" s="2943"/>
      <c r="AG32" s="2943"/>
      <c r="AH32" s="2943"/>
      <c r="AI32" s="2943"/>
      <c r="AJ32" s="2943"/>
      <c r="AK32" s="1018"/>
      <c r="AL32" s="1018"/>
      <c r="AM32" s="972"/>
      <c r="AN32" s="1060"/>
      <c r="AO32" s="1060"/>
      <c r="AP32" s="1060"/>
      <c r="AQ32" s="1060"/>
      <c r="AR32" s="1060"/>
      <c r="AS32" s="1110">
        <v>0</v>
      </c>
    </row>
    <row customHeight="1" ht="14.25">
      <c r="Q33" s="1068"/>
      <c r="R33" s="1068"/>
      <c r="S33" s="1967"/>
      <c r="T33" s="1055"/>
      <c r="U33" s="1055"/>
      <c r="V33" s="1014"/>
      <c r="W33" s="1014"/>
      <c r="X33" s="1014"/>
      <c r="Y33" s="1014"/>
      <c r="Z33" s="1014"/>
      <c r="AA33" s="1014"/>
      <c r="AB33" s="1014"/>
      <c r="AC33" s="1014"/>
      <c r="AD33" s="1014"/>
      <c r="AE33" s="1014"/>
      <c r="AF33" s="1014"/>
      <c r="AG33" s="1014"/>
      <c r="AH33" s="1014"/>
      <c r="AI33" s="1014"/>
      <c r="AJ33" s="1014"/>
      <c r="AK33" s="1014"/>
      <c r="AL33" s="1201"/>
      <c r="AS33" s="1847">
        <v>0</v>
      </c>
    </row>
    <row s="63055" customFormat="1" customHeight="1" ht="18.75">
      <c r="A34" s="2060"/>
      <c r="B34" s="2060"/>
      <c r="C34" s="2060"/>
      <c r="D34" s="2060"/>
      <c r="E34" s="2060"/>
      <c r="F34" s="2060"/>
      <c r="G34" s="2060"/>
      <c r="H34" s="2060"/>
      <c r="I34" s="2060"/>
      <c r="J34" s="2060"/>
      <c r="K34" s="2060"/>
      <c r="L34" s="2061"/>
      <c r="M34" s="2060"/>
      <c r="N34" s="2060"/>
      <c r="O34" s="2060"/>
      <c r="S34" s="2942" t="s">
        <v>497</v>
      </c>
      <c r="T34" s="2942"/>
      <c r="U34" s="2064"/>
      <c r="V34" s="2956" t="str">
        <f>IF(TITLE_DATE_PR_CHANGE="",IF(TITLE_DATE_PR="","",TITLE_DATE_PR),TITLE_DATE_PR_CHANGE)</f>
        <v>45981</v>
      </c>
      <c r="W34" s="2956"/>
      <c r="X34" s="2956"/>
      <c r="Y34" s="2956"/>
      <c r="Z34" s="2956"/>
      <c r="AA34" s="2956"/>
      <c r="AB34" s="2956"/>
      <c r="AC34" s="1018"/>
      <c r="AD34" s="2956" t="str">
        <f>IF(TITLE_DATE_PR_CHANGE="",IF(TITLE_DATE_PR="","",TITLE_DATE_PR),TITLE_DATE_PR_CHANGE)</f>
        <v>45981</v>
      </c>
      <c r="AE34" s="2956"/>
      <c r="AF34" s="2956"/>
      <c r="AG34" s="2956"/>
      <c r="AH34" s="2956"/>
      <c r="AI34" s="2956"/>
      <c r="AJ34" s="2956"/>
      <c r="AK34" s="1018"/>
      <c r="AL34" s="1018"/>
      <c r="AM34" s="972"/>
      <c r="AN34" s="1060"/>
      <c r="AO34" s="1060"/>
      <c r="AP34" s="1060"/>
      <c r="AQ34" s="1060"/>
      <c r="AR34" s="1060"/>
      <c r="AS34" s="1110">
        <v>0</v>
      </c>
    </row>
    <row s="63055" customFormat="1" customHeight="1" ht="18.75">
      <c r="A35" s="2060"/>
      <c r="B35" s="2060"/>
      <c r="C35" s="2060"/>
      <c r="D35" s="2060"/>
      <c r="E35" s="2060"/>
      <c r="F35" s="2060"/>
      <c r="G35" s="2060"/>
      <c r="H35" s="2060"/>
      <c r="I35" s="2060"/>
      <c r="J35" s="2060"/>
      <c r="K35" s="2060"/>
      <c r="L35" s="2061"/>
      <c r="M35" s="2060"/>
      <c r="N35" s="2060"/>
      <c r="O35" s="2060"/>
      <c r="S35" s="2942" t="s">
        <v>498</v>
      </c>
      <c r="T35" s="2942"/>
      <c r="U35" s="2064"/>
      <c r="V35" s="2943" t="str">
        <f>IF(TITLE_NUMBER_PR_CHANGE="",IF(TITLE_NUMBER_PR="","",TITLE_NUMBER_PR),TITLE_NUMBER_PR_CHANGE)</f>
        <v>Исх-260/1781</v>
      </c>
      <c r="W35" s="2943"/>
      <c r="X35" s="2943"/>
      <c r="Y35" s="2943"/>
      <c r="Z35" s="2943"/>
      <c r="AA35" s="2943"/>
      <c r="AB35" s="2943"/>
      <c r="AC35" s="1018"/>
      <c r="AD35" s="2943" t="str">
        <f>IF(TITLE_NUMBER_PR_CHANGE="",IF(TITLE_NUMBER_PR="","",TITLE_NUMBER_PR),TITLE_NUMBER_PR_CHANGE)</f>
        <v>Исх-260/1781</v>
      </c>
      <c r="AE35" s="2943"/>
      <c r="AF35" s="2943"/>
      <c r="AG35" s="2943"/>
      <c r="AH35" s="2943"/>
      <c r="AI35" s="2943"/>
      <c r="AJ35" s="2943"/>
      <c r="AK35" s="1018"/>
      <c r="AL35" s="1018"/>
      <c r="AM35" s="972"/>
      <c r="AN35" s="1060"/>
      <c r="AO35" s="1060"/>
      <c r="AP35" s="1060"/>
      <c r="AQ35" s="1060"/>
      <c r="AR35" s="1060"/>
      <c r="AS35" s="1110">
        <v>0</v>
      </c>
    </row>
    <row s="63055" customFormat="1" customHeight="1" ht="0">
      <c r="A36" s="2060"/>
      <c r="B36" s="2060"/>
      <c r="C36" s="2060"/>
      <c r="D36" s="2060"/>
      <c r="E36" s="2060"/>
      <c r="F36" s="2060"/>
      <c r="G36" s="2060"/>
      <c r="H36" s="2060"/>
      <c r="I36" s="2060"/>
      <c r="J36" s="2060"/>
      <c r="K36" s="2060"/>
      <c r="L36" s="2061"/>
      <c r="M36" s="2060"/>
      <c r="N36" s="2060"/>
      <c r="O36" s="2060"/>
      <c r="S36" s="1015"/>
      <c r="T36" s="1015"/>
      <c r="U36" s="2032"/>
      <c r="V36" s="1018"/>
      <c r="W36" s="1018"/>
      <c r="X36" s="1018"/>
      <c r="Y36" s="1018"/>
      <c r="Z36" s="1018"/>
      <c r="AA36" s="1018"/>
      <c r="AB36" s="1018"/>
      <c r="AC36" s="970" t="s">
        <v>499</v>
      </c>
      <c r="AD36" s="1018"/>
      <c r="AE36" s="1018"/>
      <c r="AF36" s="1018"/>
      <c r="AG36" s="1018"/>
      <c r="AH36" s="1018"/>
      <c r="AI36" s="1018"/>
      <c r="AJ36" s="1018"/>
      <c r="AK36" s="970" t="s">
        <v>499</v>
      </c>
      <c r="AN36" s="1060"/>
      <c r="AO36" s="1060"/>
      <c r="AP36" s="1060"/>
      <c r="AQ36" s="1060"/>
      <c r="AR36" s="1060"/>
      <c r="AS36" s="1110">
        <v>0</v>
      </c>
    </row>
    <row customHeight="1" ht="14.699999999999998">
      <c r="Q37" s="1068"/>
      <c r="R37" s="1068"/>
      <c r="S37" s="1967"/>
      <c r="T37" s="1055"/>
      <c r="U37" s="1936"/>
      <c r="V37" s="2944"/>
      <c r="W37" s="2944"/>
      <c r="X37" s="2944"/>
      <c r="Y37" s="2944"/>
      <c r="Z37" s="2944"/>
      <c r="AA37" s="2944"/>
      <c r="AB37" s="2944"/>
      <c r="AC37" s="2944"/>
      <c r="AD37" s="2944"/>
      <c r="AE37" s="2944"/>
      <c r="AF37" s="2944"/>
      <c r="AG37" s="2944"/>
      <c r="AH37" s="2944"/>
      <c r="AI37" s="2944"/>
      <c r="AJ37" s="2944"/>
      <c r="AK37" s="2944"/>
      <c r="AS37" s="1847">
        <v>14</v>
      </c>
    </row>
    <row customHeight="1" ht="14.699999999999998">
      <c r="Q38" s="1068"/>
      <c r="R38" s="1068"/>
      <c r="S38" s="2819" t="s">
        <v>375</v>
      </c>
      <c r="T38" s="2819"/>
      <c r="U38" s="2819"/>
      <c r="V38" s="2819"/>
      <c r="W38" s="2819"/>
      <c r="X38" s="2819"/>
      <c r="Y38" s="2819"/>
      <c r="Z38" s="2819"/>
      <c r="AA38" s="2819"/>
      <c r="AB38" s="2819"/>
      <c r="AC38" s="2819"/>
      <c r="AD38" s="2819"/>
      <c r="AE38" s="2819"/>
      <c r="AF38" s="2819"/>
      <c r="AG38" s="2819"/>
      <c r="AH38" s="2819"/>
      <c r="AI38" s="2819"/>
      <c r="AJ38" s="2819"/>
      <c r="AK38" s="2819"/>
      <c r="AL38" s="2819"/>
      <c r="AM38" s="2819" t="s">
        <v>376</v>
      </c>
      <c r="AS38" s="1847">
        <v>14</v>
      </c>
    </row>
    <row customHeight="1" ht="14.699999999999998">
      <c r="Q39" s="1068"/>
      <c r="R39" s="1068"/>
      <c r="S39" s="2965" t="s">
        <v>89</v>
      </c>
      <c r="T39" s="2901" t="s">
        <v>500</v>
      </c>
      <c r="U39" s="993"/>
      <c r="V39" s="2966" t="s">
        <v>501</v>
      </c>
      <c r="W39" s="2967"/>
      <c r="X39" s="2983"/>
      <c r="Y39" s="2983"/>
      <c r="Z39" s="2967"/>
      <c r="AA39" s="2967"/>
      <c r="AB39" s="2968"/>
      <c r="AC39" s="2969" t="s">
        <v>502</v>
      </c>
      <c r="AD39" s="2966" t="s">
        <v>501</v>
      </c>
      <c r="AE39" s="2967"/>
      <c r="AF39" s="2983"/>
      <c r="AG39" s="2983"/>
      <c r="AH39" s="2967"/>
      <c r="AI39" s="2967"/>
      <c r="AJ39" s="2968"/>
      <c r="AK39" s="2969" t="s">
        <v>503</v>
      </c>
      <c r="AL39" s="2972" t="s">
        <v>504</v>
      </c>
      <c r="AM39" s="2819"/>
      <c r="AS39" s="1847">
        <v>14</v>
      </c>
    </row>
    <row customHeight="1" ht="24">
      <c r="Q40" s="1068"/>
      <c r="R40" s="1068"/>
      <c r="S40" s="2965"/>
      <c r="T40" s="2901"/>
      <c r="U40" s="1723"/>
      <c r="V40" s="2984" t="s">
        <v>505</v>
      </c>
      <c r="W40" s="2986" t="s">
        <v>506</v>
      </c>
      <c r="X40" s="2068" t="s">
        <v>507</v>
      </c>
      <c r="Y40" s="2068"/>
      <c r="Z40" s="2961" t="s">
        <v>508</v>
      </c>
      <c r="AA40" s="2961"/>
      <c r="AB40" s="2955"/>
      <c r="AC40" s="2970"/>
      <c r="AD40" s="2984" t="s">
        <v>505</v>
      </c>
      <c r="AE40" s="2986" t="s">
        <v>506</v>
      </c>
      <c r="AF40" s="2068" t="s">
        <v>507</v>
      </c>
      <c r="AG40" s="2068"/>
      <c r="AH40" s="2961" t="s">
        <v>508</v>
      </c>
      <c r="AI40" s="2961"/>
      <c r="AJ40" s="2955"/>
      <c r="AK40" s="2970"/>
      <c r="AL40" s="2973"/>
      <c r="AM40" s="2819"/>
      <c r="AS40" s="1847">
        <v>23</v>
      </c>
    </row>
    <row s="62588" customFormat="1" customHeight="1" ht="24">
      <c r="A41" s="2062"/>
      <c r="B41" s="2062" t="s">
        <v>143</v>
      </c>
      <c r="C41" s="2062" t="s">
        <v>144</v>
      </c>
      <c r="D41" s="2062" t="s">
        <v>145</v>
      </c>
      <c r="E41" s="2056" t="s">
        <v>509</v>
      </c>
      <c r="F41" s="2056" t="s">
        <v>510</v>
      </c>
      <c r="G41" s="2056" t="s">
        <v>511</v>
      </c>
      <c r="H41" s="2056" t="s">
        <v>512</v>
      </c>
      <c r="I41" s="2056" t="s">
        <v>513</v>
      </c>
      <c r="J41" s="2056" t="s">
        <v>514</v>
      </c>
      <c r="K41" s="2056" t="s">
        <v>515</v>
      </c>
      <c r="L41" s="2056" t="s">
        <v>490</v>
      </c>
      <c r="M41" s="2054"/>
      <c r="N41" s="2054"/>
      <c r="O41" s="2054"/>
      <c r="P41" s="2020"/>
      <c r="Q41" s="1068"/>
      <c r="R41" s="1068"/>
      <c r="S41" s="2965"/>
      <c r="T41" s="2901"/>
      <c r="U41" s="994"/>
      <c r="V41" s="2985"/>
      <c r="W41" s="2987"/>
      <c r="X41" s="2065" t="s">
        <v>516</v>
      </c>
      <c r="Y41" s="2065" t="s">
        <v>517</v>
      </c>
      <c r="Z41" s="2026" t="s">
        <v>518</v>
      </c>
      <c r="AA41" s="2962" t="s">
        <v>519</v>
      </c>
      <c r="AB41" s="2963"/>
      <c r="AC41" s="2971"/>
      <c r="AD41" s="2985"/>
      <c r="AE41" s="2987"/>
      <c r="AF41" s="2065" t="s">
        <v>516</v>
      </c>
      <c r="AG41" s="2065" t="s">
        <v>517</v>
      </c>
      <c r="AH41" s="2026" t="s">
        <v>518</v>
      </c>
      <c r="AI41" s="2962" t="s">
        <v>519</v>
      </c>
      <c r="AJ41" s="2963"/>
      <c r="AK41" s="2971"/>
      <c r="AL41" s="2974"/>
      <c r="AM41" s="2819"/>
      <c r="AN41" s="1203"/>
      <c r="AO41" s="1192"/>
      <c r="AP41" s="1192"/>
      <c r="AQ41" s="1192"/>
      <c r="AR41" s="1192"/>
      <c r="AS41" s="1274">
        <v>23</v>
      </c>
    </row>
    <row s="61193" customFormat="1" customHeight="1" ht="11.25" hidden="1">
      <c r="A42" s="2062"/>
      <c r="B42" s="2062"/>
      <c r="C42" s="2062"/>
      <c r="D42" s="2062"/>
      <c r="E42" s="2062"/>
      <c r="F42" s="2062"/>
      <c r="G42" s="2062"/>
      <c r="H42" s="2062"/>
      <c r="I42" s="2062"/>
      <c r="J42" s="2062"/>
      <c r="K42" s="2062"/>
      <c r="L42" s="2056"/>
      <c r="M42" s="2054"/>
      <c r="N42" s="2054"/>
      <c r="O42" s="2054"/>
      <c r="P42" s="1938"/>
      <c r="Q42" s="1939"/>
      <c r="R42" s="1946">
        <v>1</v>
      </c>
      <c r="S42" s="1969" t="s">
        <v>118</v>
      </c>
      <c r="T42" s="1947" t="s">
        <v>103</v>
      </c>
      <c r="U42" s="1937" t="str">
        <f>OFFSET(U42,0,-1)</f>
        <v>2</v>
      </c>
      <c r="V42" s="2027">
        <f>OFFSET(V42,0,-1)+1</f>
        <v>3</v>
      </c>
      <c r="W42" s="2027"/>
      <c r="X42" s="2033">
        <f>OFFSET(X42,0,-1)+1</f>
        <v>1</v>
      </c>
      <c r="Y42" s="2033">
        <f>OFFSET(Y42,0,-1)+1</f>
        <v>2</v>
      </c>
      <c r="Z42" s="2027">
        <f>OFFSET(Z42,0,-1)+1</f>
        <v>3</v>
      </c>
      <c r="AA42" s="2964">
        <f>OFFSET(AA42,0,-1)+1</f>
        <v>4</v>
      </c>
      <c r="AB42" s="2964"/>
      <c r="AC42" s="2027">
        <f>OFFSET(AC42,0,-2)+1</f>
        <v>5</v>
      </c>
      <c r="AD42" s="2027">
        <f>OFFSET(AD42,0,-1)+1</f>
        <v>6</v>
      </c>
      <c r="AE42" s="2027"/>
      <c r="AF42" s="2033">
        <f>OFFSET(AF42,0,-1)+1</f>
        <v>1</v>
      </c>
      <c r="AG42" s="2033">
        <f>OFFSET(AG42,0,-1)+1</f>
        <v>2</v>
      </c>
      <c r="AH42" s="2027">
        <f>OFFSET(AH42,0,-1)+1</f>
        <v>3</v>
      </c>
      <c r="AI42" s="2964">
        <f>OFFSET(AI42,0,-1)+1</f>
        <v>4</v>
      </c>
      <c r="AJ42" s="2964"/>
      <c r="AK42" s="2027">
        <f>OFFSET(AK42,0,-2)+1</f>
        <v>5</v>
      </c>
      <c r="AL42" s="1937">
        <f>OFFSET(AL42,0,-1)</f>
        <v>5</v>
      </c>
      <c r="AM42" s="2027">
        <f>OFFSET(AM42,0,-1)+1</f>
        <v>6</v>
      </c>
      <c r="AN42" s="1203"/>
      <c r="AO42" s="1203"/>
      <c r="AP42" s="1203"/>
      <c r="AQ42" s="1203"/>
      <c r="AR42" s="1203"/>
      <c r="AS42" s="1188">
        <v>0</v>
      </c>
    </row>
    <row customHeight="1" ht="22.049999999999997">
      <c r="A43" s="2055" t="s">
        <v>269</v>
      </c>
      <c r="B43" s="2055"/>
      <c r="C43" s="2055"/>
      <c r="D43" s="2055"/>
      <c r="E43" s="2950">
        <v>1</v>
      </c>
      <c r="F43" s="2055"/>
      <c r="G43" s="2055"/>
      <c r="H43" s="2055"/>
      <c r="I43" s="2055"/>
      <c r="J43" s="2055"/>
      <c r="K43" s="2055"/>
      <c r="L43" s="2056"/>
      <c r="M43" s="2057"/>
      <c r="N43" s="2057"/>
      <c r="O43" s="2057"/>
      <c r="P43" s="1053"/>
      <c r="Q43" s="1052"/>
      <c r="R43" s="1047"/>
      <c r="S43" s="2028">
        <f>INDEX(PT_DIFFERENTIATION_NUM_NTAR,MATCH(A43,PT_DIFFERENTIATION_NTAR_ID,0))</f>
        <v>0</v>
      </c>
      <c r="T43" s="990" t="s">
        <v>131</v>
      </c>
      <c r="U43" s="992"/>
      <c r="V43" s="2934"/>
      <c r="W43" s="2935"/>
      <c r="X43" s="2935"/>
      <c r="Y43" s="2935"/>
      <c r="Z43" s="2935"/>
      <c r="AA43" s="2935"/>
      <c r="AB43" s="2935"/>
      <c r="AC43" s="2936"/>
      <c r="AD43" s="2934" t="str">
        <f>INDEX(PT_DIFFERENTIATION_NTAR,MATCH(A43,PT_DIFFERENTIATION_NTAR_ID,0))</f>
        <v/>
      </c>
      <c r="AE43" s="2935"/>
      <c r="AF43" s="2935"/>
      <c r="AG43" s="2935"/>
      <c r="AH43" s="2935"/>
      <c r="AI43" s="2935"/>
      <c r="AJ43" s="2935"/>
      <c r="AK43" s="2935"/>
      <c r="AL43" s="2936"/>
      <c r="AM43" s="195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92"/>
      <c r="AP43" s="1192" t="str">
        <f>IF(T43="","",T43)</f>
        <v>Наименование тарифа</v>
      </c>
      <c r="AQ43" s="1192"/>
      <c r="AR43" s="1192"/>
      <c r="AS43" s="1847">
        <v>21</v>
      </c>
    </row>
    <row customHeight="1" ht="22.049999999999997">
      <c r="A44" s="2055" t="s">
        <v>269</v>
      </c>
      <c r="B44" s="2055" t="s">
        <v>270</v>
      </c>
      <c r="C44" s="2055"/>
      <c r="D44" s="2055"/>
      <c r="E44" s="2951"/>
      <c r="F44" s="2950">
        <v>1</v>
      </c>
      <c r="G44" s="2055"/>
      <c r="H44" s="2055"/>
      <c r="I44" s="2055"/>
      <c r="J44" s="2055"/>
      <c r="K44" s="2055"/>
      <c r="L44" s="2056"/>
      <c r="M44" s="2057"/>
      <c r="N44" s="2057"/>
      <c r="O44" s="2057"/>
      <c r="P44" s="2024"/>
      <c r="Q44" s="1044"/>
      <c r="R44" s="1045"/>
      <c r="S44" s="2028" t="str">
        <f>INDEX(PT_DIFFERENTIATION_NUM_TER,MATCH(B44,PT_DIFFERENTIATION_TER_ID,0))</f>
        <v>.</v>
      </c>
      <c r="T44" s="1000" t="s">
        <v>472</v>
      </c>
      <c r="U44" s="992"/>
      <c r="V44" s="2934"/>
      <c r="W44" s="2935"/>
      <c r="X44" s="2935"/>
      <c r="Y44" s="2935"/>
      <c r="Z44" s="2935"/>
      <c r="AA44" s="2935"/>
      <c r="AB44" s="2935"/>
      <c r="AC44" s="2936"/>
      <c r="AD44" s="2934" t="str">
        <f>INDEX(PT_DIFFERENTIATION_TER,MATCH(B44,PT_DIFFERENTIATION_TER_ID,0))</f>
        <v/>
      </c>
      <c r="AE44" s="2935"/>
      <c r="AF44" s="2935"/>
      <c r="AG44" s="2935"/>
      <c r="AH44" s="2935"/>
      <c r="AI44" s="2935"/>
      <c r="AJ44" s="2935"/>
      <c r="AK44" s="2935"/>
      <c r="AL44" s="2936"/>
      <c r="AM44" s="1950" t="s">
        <v>473</v>
      </c>
      <c r="AO44" s="1192"/>
      <c r="AP44" s="1192" t="str">
        <f>IF(T44="","",T44)</f>
        <v>Территория действия тарифа</v>
      </c>
      <c r="AQ44" s="1192"/>
      <c r="AR44" s="1192"/>
      <c r="AS44" s="1847">
        <v>21</v>
      </c>
    </row>
    <row customHeight="1" ht="24">
      <c r="A45" s="2055" t="s">
        <v>269</v>
      </c>
      <c r="B45" s="2055" t="s">
        <v>270</v>
      </c>
      <c r="C45" s="2055" t="s">
        <v>271</v>
      </c>
      <c r="D45" s="2055"/>
      <c r="E45" s="2951"/>
      <c r="F45" s="2951"/>
      <c r="G45" s="2950">
        <v>1</v>
      </c>
      <c r="H45" s="2055"/>
      <c r="I45" s="2055"/>
      <c r="J45" s="2055"/>
      <c r="K45" s="2055"/>
      <c r="L45" s="2056"/>
      <c r="M45" s="2057"/>
      <c r="N45" s="2057"/>
      <c r="O45" s="2057"/>
      <c r="P45" s="1046"/>
      <c r="Q45" s="1044"/>
      <c r="R45" s="1045"/>
      <c r="S45" s="2028" t="str">
        <f>INDEX(PT_DIFFERENTIATION_NUM_CS,MATCH(C45,PT_DIFFERENTIATION_CS_ID,0))</f>
        <v>..</v>
      </c>
      <c r="T45" s="1001" t="s">
        <v>474</v>
      </c>
      <c r="U45" s="992"/>
      <c r="V45" s="2934"/>
      <c r="W45" s="2935"/>
      <c r="X45" s="2935"/>
      <c r="Y45" s="2935"/>
      <c r="Z45" s="2935"/>
      <c r="AA45" s="2935"/>
      <c r="AB45" s="2935"/>
      <c r="AC45" s="2936"/>
      <c r="AD45" s="2934" t="str">
        <f>INDEX(PT_DIFFERENTIATION_CS,MATCH(C45,PT_DIFFERENTIATION_CS_ID,0))</f>
        <v/>
      </c>
      <c r="AE45" s="2935"/>
      <c r="AF45" s="2935"/>
      <c r="AG45" s="2935"/>
      <c r="AH45" s="2935"/>
      <c r="AI45" s="2935"/>
      <c r="AJ45" s="2935"/>
      <c r="AK45" s="2935"/>
      <c r="AL45" s="2936"/>
      <c r="AM45" s="1950" t="s">
        <v>475</v>
      </c>
      <c r="AO45" s="1192"/>
      <c r="AP45" s="1192" t="str">
        <f>IF(T45="","",T45)</f>
        <v>Наименование системы теплоснабжения </v>
      </c>
      <c r="AQ45" s="1192"/>
      <c r="AR45" s="1192"/>
      <c r="AS45" s="1847">
        <v>23</v>
      </c>
    </row>
    <row customHeight="1" ht="22.049999999999997">
      <c r="A46" s="2055" t="s">
        <v>269</v>
      </c>
      <c r="B46" s="2055" t="s">
        <v>270</v>
      </c>
      <c r="C46" s="2055" t="s">
        <v>271</v>
      </c>
      <c r="D46" s="2055" t="s">
        <v>272</v>
      </c>
      <c r="E46" s="2951"/>
      <c r="F46" s="2951"/>
      <c r="G46" s="2951"/>
      <c r="H46" s="2950">
        <v>1</v>
      </c>
      <c r="I46" s="2055"/>
      <c r="J46" s="2055"/>
      <c r="K46" s="2055"/>
      <c r="L46" s="2056"/>
      <c r="M46" s="2057"/>
      <c r="N46" s="2057"/>
      <c r="O46" s="2057"/>
      <c r="P46" s="1046"/>
      <c r="Q46" s="1044"/>
      <c r="R46" s="1045"/>
      <c r="S46" s="2028" t="str">
        <f>INDEX(PT_DIFFERENTIATION_NUM_IST_TE,MATCH(D46,PT_DIFFERENTIATION_IST_TE_ID,0))</f>
        <v>...</v>
      </c>
      <c r="T46" s="1002" t="s">
        <v>476</v>
      </c>
      <c r="U46" s="992"/>
      <c r="V46" s="2934"/>
      <c r="W46" s="2935"/>
      <c r="X46" s="2935"/>
      <c r="Y46" s="2935"/>
      <c r="Z46" s="2935"/>
      <c r="AA46" s="2935"/>
      <c r="AB46" s="2935"/>
      <c r="AC46" s="2936"/>
      <c r="AD46" s="2934" t="str">
        <f>INDEX(PT_DIFFERENTIATION_IST_TE,MATCH(D46,PT_DIFFERENTIATION_IST_TE_ID,0))</f>
        <v/>
      </c>
      <c r="AE46" s="2935"/>
      <c r="AF46" s="2935"/>
      <c r="AG46" s="2935"/>
      <c r="AH46" s="2935"/>
      <c r="AI46" s="2935"/>
      <c r="AJ46" s="2935"/>
      <c r="AK46" s="2935"/>
      <c r="AL46" s="2936"/>
      <c r="AM46" s="1950" t="s">
        <v>477</v>
      </c>
      <c r="AO46" s="1192"/>
      <c r="AP46" s="1192" t="str">
        <f>IF(T46="","",T46)</f>
        <v>Источник тепловой энергии  </v>
      </c>
      <c r="AQ46" s="1192"/>
      <c r="AR46" s="1192"/>
      <c r="AS46" s="1847">
        <v>21</v>
      </c>
    </row>
    <row customHeight="1" ht="49.5">
      <c r="A47" s="2055" t="s">
        <v>269</v>
      </c>
      <c r="B47" s="2055" t="s">
        <v>270</v>
      </c>
      <c r="C47" s="2055" t="s">
        <v>271</v>
      </c>
      <c r="D47" s="2055" t="s">
        <v>272</v>
      </c>
      <c r="E47" s="2951"/>
      <c r="F47" s="2951"/>
      <c r="G47" s="2951"/>
      <c r="H47" s="2951"/>
      <c r="I47" s="2948" t="str">
        <f>S46&amp;".1"</f>
        <v>....1</v>
      </c>
      <c r="J47" s="2055"/>
      <c r="K47" s="2055"/>
      <c r="L47" s="2056" t="s">
        <v>478</v>
      </c>
      <c r="P47" s="2949">
        <v>1</v>
      </c>
      <c r="Q47" s="2023"/>
      <c r="R47" s="1048"/>
      <c r="S47" s="2028" t="str">
        <f>$I47</f>
        <v>....1</v>
      </c>
      <c r="T47" s="977" t="s">
        <v>479</v>
      </c>
      <c r="U47" s="992"/>
      <c r="V47" s="2937"/>
      <c r="W47" s="2938"/>
      <c r="X47" s="2938"/>
      <c r="Y47" s="2938"/>
      <c r="Z47" s="2938"/>
      <c r="AA47" s="2938"/>
      <c r="AB47" s="2938"/>
      <c r="AC47" s="2939"/>
      <c r="AD47" s="2937"/>
      <c r="AE47" s="2938"/>
      <c r="AF47" s="2938"/>
      <c r="AG47" s="2938"/>
      <c r="AH47" s="2938"/>
      <c r="AI47" s="2938"/>
      <c r="AJ47" s="2938"/>
      <c r="AK47" s="2938"/>
      <c r="AL47" s="2939"/>
      <c r="AM47" s="1950" t="s">
        <v>480</v>
      </c>
      <c r="AO47" s="1192"/>
      <c r="AP47" s="1192" t="str">
        <f>IF(T47="","",T47)</f>
        <v>Схема подключения теплопотребляющей установки к коллектору источника тепловой энергии</v>
      </c>
      <c r="AQ47" s="1192"/>
      <c r="AR47" s="1192"/>
      <c r="AS47" s="1847">
        <v>47</v>
      </c>
    </row>
    <row customHeight="1" ht="22.049999999999997">
      <c r="A48" s="2055" t="s">
        <v>269</v>
      </c>
      <c r="B48" s="2055" t="s">
        <v>270</v>
      </c>
      <c r="C48" s="2055" t="s">
        <v>271</v>
      </c>
      <c r="D48" s="2055" t="s">
        <v>272</v>
      </c>
      <c r="E48" s="2951"/>
      <c r="F48" s="2951"/>
      <c r="G48" s="2951"/>
      <c r="H48" s="2951"/>
      <c r="I48" s="2978"/>
      <c r="J48" s="2948" t="str">
        <f>I47&amp;".1"</f>
        <v>....1.1</v>
      </c>
      <c r="K48" s="2055"/>
      <c r="L48" s="2056" t="s">
        <v>481</v>
      </c>
      <c r="P48" s="2949"/>
      <c r="Q48" s="2949">
        <v>1</v>
      </c>
      <c r="R48" s="1049"/>
      <c r="S48" s="2028" t="str">
        <f>$J48</f>
        <v>....1.1</v>
      </c>
      <c r="T48" s="978" t="s">
        <v>482</v>
      </c>
      <c r="U48" s="992"/>
      <c r="V48" s="2937"/>
      <c r="W48" s="2938"/>
      <c r="X48" s="2938"/>
      <c r="Y48" s="2938"/>
      <c r="Z48" s="2938"/>
      <c r="AA48" s="2938"/>
      <c r="AB48" s="2938"/>
      <c r="AC48" s="2939"/>
      <c r="AD48" s="2937"/>
      <c r="AE48" s="2938"/>
      <c r="AF48" s="2938"/>
      <c r="AG48" s="2938"/>
      <c r="AH48" s="2938"/>
      <c r="AI48" s="2938"/>
      <c r="AJ48" s="2938"/>
      <c r="AK48" s="2938"/>
      <c r="AL48" s="2939"/>
      <c r="AM48" s="1950" t="s">
        <v>483</v>
      </c>
      <c r="AO48" s="1192"/>
      <c r="AP48" s="1192" t="str">
        <f>IF(T48="","",T48)</f>
        <v>Группа потребителей</v>
      </c>
      <c r="AQ48" s="1192"/>
      <c r="AR48" s="1192"/>
      <c r="AS48" s="1847">
        <v>21</v>
      </c>
    </row>
    <row customHeight="1" ht="22.049999999999997">
      <c r="A49" s="2055" t="s">
        <v>269</v>
      </c>
      <c r="B49" s="2055" t="s">
        <v>270</v>
      </c>
      <c r="C49" s="2055" t="s">
        <v>271</v>
      </c>
      <c r="D49" s="2055" t="s">
        <v>272</v>
      </c>
      <c r="E49" s="2951"/>
      <c r="F49" s="2951"/>
      <c r="G49" s="2951"/>
      <c r="H49" s="2951"/>
      <c r="I49" s="2978"/>
      <c r="J49" s="2978"/>
      <c r="K49" s="2948" t="str">
        <f>J48&amp;".1"</f>
        <v>....1.1.1</v>
      </c>
      <c r="L49" s="2056" t="s">
        <v>484</v>
      </c>
      <c r="P49" s="2949"/>
      <c r="Q49" s="2949"/>
      <c r="R49" s="1049">
        <v>1</v>
      </c>
      <c r="S49" s="2028" t="str">
        <f>$K49</f>
        <v>....1.1.1</v>
      </c>
      <c r="T49" s="2039"/>
      <c r="U49" s="992"/>
      <c r="V49" s="1017"/>
      <c r="W49" s="1443"/>
      <c r="X49" s="1017"/>
      <c r="Y49" s="1076"/>
      <c r="Z49" s="2957"/>
      <c r="AA49" s="2799" t="s">
        <v>67</v>
      </c>
      <c r="AB49" s="2957"/>
      <c r="AC49" s="2799" t="s">
        <v>67</v>
      </c>
      <c r="AD49" s="1017"/>
      <c r="AE49" s="1443"/>
      <c r="AF49" s="1017"/>
      <c r="AG49" s="1076"/>
      <c r="AH49" s="2957"/>
      <c r="AI49" s="2799" t="s">
        <v>67</v>
      </c>
      <c r="AJ49" s="2979"/>
      <c r="AK49" s="2799" t="s">
        <v>67</v>
      </c>
      <c r="AL49" s="2040"/>
      <c r="AM49" s="2945" t="s">
        <v>485</v>
      </c>
      <c r="AN49" s="1203">
        <f>STRCHECKDATE(V50:AL50)</f>
      </c>
      <c r="AO49" s="1192"/>
      <c r="AP49" s="1192" t="str">
        <f>IF(T49="","",T49)</f>
        <v/>
      </c>
      <c r="AQ49" s="1192"/>
      <c r="AR49" s="1192"/>
      <c r="AS49" s="1847">
        <v>21</v>
      </c>
    </row>
    <row customHeight="1" ht="1.05">
      <c r="A50" s="2055" t="s">
        <v>269</v>
      </c>
      <c r="B50" s="2055" t="s">
        <v>270</v>
      </c>
      <c r="C50" s="2055" t="s">
        <v>271</v>
      </c>
      <c r="D50" s="2055" t="s">
        <v>272</v>
      </c>
      <c r="E50" s="2951"/>
      <c r="F50" s="2951"/>
      <c r="G50" s="2951"/>
      <c r="H50" s="2951"/>
      <c r="I50" s="2978"/>
      <c r="J50" s="2978"/>
      <c r="K50" s="2948"/>
      <c r="L50" s="2056"/>
      <c r="P50" s="2949"/>
      <c r="Q50" s="2949"/>
      <c r="R50" s="1049"/>
      <c r="S50" s="2034"/>
      <c r="T50" s="992"/>
      <c r="U50" s="992"/>
      <c r="V50" s="1017"/>
      <c r="W50" s="1017"/>
      <c r="X50" s="1017"/>
      <c r="Y50" s="1020" t="str">
        <f>Z49&amp;"-"&amp;AB49</f>
        <v>-</v>
      </c>
      <c r="Z50" s="2958"/>
      <c r="AA50" s="2799"/>
      <c r="AB50" s="2958"/>
      <c r="AC50" s="2799"/>
      <c r="AD50" s="1017"/>
      <c r="AE50" s="1017"/>
      <c r="AF50" s="1017"/>
      <c r="AG50" s="1020" t="str">
        <f>AH49&amp;"-"&amp;AJ49</f>
        <v>-</v>
      </c>
      <c r="AH50" s="2958"/>
      <c r="AI50" s="2799"/>
      <c r="AJ50" s="2980"/>
      <c r="AK50" s="2799"/>
      <c r="AL50" s="2041"/>
      <c r="AM50" s="2946"/>
      <c r="AO50" s="1192"/>
      <c r="AP50" s="1192" t="str">
        <f>IF(T50="","",T50)</f>
        <v/>
      </c>
      <c r="AQ50" s="1192"/>
      <c r="AR50" s="1192"/>
      <c r="AS50" s="1847">
        <v>1</v>
      </c>
    </row>
    <row customHeight="1" ht="11.549999999999999">
      <c r="A51" s="2055" t="s">
        <v>269</v>
      </c>
      <c r="B51" s="2055" t="s">
        <v>270</v>
      </c>
      <c r="C51" s="2055" t="s">
        <v>271</v>
      </c>
      <c r="D51" s="2055" t="s">
        <v>272</v>
      </c>
      <c r="E51" s="2951"/>
      <c r="F51" s="2951"/>
      <c r="G51" s="2951"/>
      <c r="H51" s="2951"/>
      <c r="I51" s="2978"/>
      <c r="J51" s="2948"/>
      <c r="K51" s="2055"/>
      <c r="L51" s="2056"/>
      <c r="P51" s="2949"/>
      <c r="Q51" s="2949"/>
      <c r="R51" s="1048"/>
      <c r="S51" s="1970"/>
      <c r="T51" s="980" t="s">
        <v>486</v>
      </c>
      <c r="U51" s="1059"/>
      <c r="V51" s="1059"/>
      <c r="W51" s="1059"/>
      <c r="X51" s="1059"/>
      <c r="Y51" s="1059"/>
      <c r="Z51" s="1059"/>
      <c r="AA51" s="1059"/>
      <c r="AB51" s="1059"/>
      <c r="AC51" s="1059"/>
      <c r="AD51" s="1059"/>
      <c r="AE51" s="1059"/>
      <c r="AF51" s="1059"/>
      <c r="AG51" s="1059"/>
      <c r="AH51" s="1059"/>
      <c r="AI51" s="1059"/>
      <c r="AJ51" s="1059"/>
      <c r="AK51" s="1059"/>
      <c r="AL51" s="1016"/>
      <c r="AM51" s="2947"/>
      <c r="AO51" s="1192"/>
      <c r="AP51" s="1192" t="str">
        <f>IF(T51="","",T51)</f>
        <v>Добавить вид теплоносителя (параметры теплоносителя)</v>
      </c>
      <c r="AQ51" s="1192"/>
      <c r="AR51" s="1192"/>
      <c r="AS51" s="1847">
        <v>11</v>
      </c>
    </row>
    <row customHeight="1" ht="11.549999999999999">
      <c r="A52" s="2055" t="s">
        <v>269</v>
      </c>
      <c r="B52" s="2055" t="s">
        <v>270</v>
      </c>
      <c r="C52" s="2055" t="s">
        <v>271</v>
      </c>
      <c r="D52" s="2055" t="s">
        <v>272</v>
      </c>
      <c r="E52" s="2951"/>
      <c r="F52" s="2951"/>
      <c r="G52" s="2951"/>
      <c r="H52" s="2951"/>
      <c r="I52" s="2948"/>
      <c r="J52" s="2055"/>
      <c r="K52" s="2055"/>
      <c r="L52" s="2056"/>
      <c r="P52" s="2949"/>
      <c r="Q52" s="2023"/>
      <c r="R52" s="1048"/>
      <c r="S52" s="1970"/>
      <c r="T52" s="979" t="s">
        <v>487</v>
      </c>
      <c r="U52" s="1059"/>
      <c r="V52" s="1059"/>
      <c r="W52" s="1059"/>
      <c r="X52" s="1059"/>
      <c r="Y52" s="1059"/>
      <c r="Z52" s="1059"/>
      <c r="AA52" s="1059"/>
      <c r="AB52" s="1059"/>
      <c r="AC52" s="1058"/>
      <c r="AD52" s="1059"/>
      <c r="AE52" s="1059"/>
      <c r="AF52" s="1059"/>
      <c r="AG52" s="1059"/>
      <c r="AH52" s="1059"/>
      <c r="AI52" s="1059"/>
      <c r="AJ52" s="1059"/>
      <c r="AK52" s="1058"/>
      <c r="AL52" s="1059"/>
      <c r="AM52" s="995"/>
      <c r="AO52" s="1192"/>
      <c r="AP52" s="1192" t="str">
        <f>IF(T52="","",T52)</f>
        <v>Добавить группу потребителей</v>
      </c>
      <c r="AQ52" s="1192"/>
      <c r="AR52" s="1192"/>
      <c r="AS52" s="1847">
        <v>11</v>
      </c>
    </row>
    <row customHeight="1" ht="14.699999999999998">
      <c r="A53" s="2055" t="s">
        <v>269</v>
      </c>
      <c r="B53" s="2055" t="s">
        <v>270</v>
      </c>
      <c r="C53" s="2055" t="s">
        <v>271</v>
      </c>
      <c r="D53" s="2055" t="s">
        <v>272</v>
      </c>
      <c r="E53" s="2951"/>
      <c r="F53" s="2951"/>
      <c r="G53" s="2951"/>
      <c r="H53" s="2950"/>
      <c r="I53" s="2055"/>
      <c r="J53" s="2055"/>
      <c r="K53" s="2055"/>
      <c r="L53" s="2056"/>
      <c r="M53" s="2057"/>
      <c r="N53" s="2057"/>
      <c r="O53" s="1229"/>
      <c r="P53" s="1052"/>
      <c r="Q53" s="1067"/>
      <c r="R53" s="1047"/>
      <c r="S53" s="1970"/>
      <c r="T53" s="1057" t="s">
        <v>488</v>
      </c>
      <c r="U53" s="1059"/>
      <c r="V53" s="1059"/>
      <c r="W53" s="1059"/>
      <c r="X53" s="1059"/>
      <c r="Y53" s="1059"/>
      <c r="Z53" s="1059"/>
      <c r="AA53" s="1059"/>
      <c r="AB53" s="1059"/>
      <c r="AC53" s="1058"/>
      <c r="AD53" s="1059"/>
      <c r="AE53" s="1059"/>
      <c r="AF53" s="1059"/>
      <c r="AG53" s="1059"/>
      <c r="AH53" s="1059"/>
      <c r="AI53" s="1059"/>
      <c r="AJ53" s="1059"/>
      <c r="AK53" s="1058"/>
      <c r="AL53" s="1059"/>
      <c r="AM53" s="995"/>
      <c r="AO53" s="1192"/>
      <c r="AP53" s="1192" t="str">
        <f>IF(T53="","",T53)</f>
        <v>Добавить схему подключения</v>
      </c>
      <c r="AQ53" s="1192"/>
      <c r="AR53" s="1192"/>
      <c r="AS53" s="1847">
        <v>14</v>
      </c>
    </row>
    <row s="61695" customFormat="1" customHeight="1" ht="1.05">
      <c r="A54" s="2035" t="s">
        <v>269</v>
      </c>
      <c r="B54" s="2035" t="s">
        <v>270</v>
      </c>
      <c r="C54" s="2035" t="s">
        <v>271</v>
      </c>
      <c r="D54" s="2006"/>
      <c r="E54" s="2951"/>
      <c r="F54" s="2951"/>
      <c r="G54" s="2950"/>
      <c r="H54" s="2006"/>
      <c r="I54" s="2006"/>
      <c r="J54" s="2006"/>
      <c r="K54" s="2006"/>
      <c r="L54" s="2031"/>
      <c r="M54" s="2007"/>
      <c r="N54" s="2007"/>
      <c r="P54" s="2008"/>
      <c r="Q54" s="2009"/>
      <c r="R54" s="2008"/>
      <c r="S54" s="2014"/>
      <c r="T54" s="2017" t="s">
        <v>171</v>
      </c>
      <c r="U54" s="2016"/>
      <c r="V54" s="2016"/>
      <c r="W54" s="2016"/>
      <c r="X54" s="2016"/>
      <c r="Y54" s="2016"/>
      <c r="Z54" s="2016"/>
      <c r="AA54" s="2016"/>
      <c r="AB54" s="2016"/>
      <c r="AC54" s="2016"/>
      <c r="AD54" s="2016"/>
      <c r="AE54" s="2016"/>
      <c r="AF54" s="2016"/>
      <c r="AG54" s="2016"/>
      <c r="AH54" s="2016"/>
      <c r="AI54" s="2016"/>
      <c r="AJ54" s="2016"/>
      <c r="AK54" s="2016"/>
      <c r="AL54" s="2016"/>
      <c r="AM54" s="2016"/>
      <c r="AO54" s="1481"/>
      <c r="AP54" s="1481" t="str">
        <f>IF(T54="","",T54)</f>
        <v>Добавить источник для дифференциации</v>
      </c>
      <c r="AQ54" s="1481"/>
      <c r="AR54" s="1481"/>
      <c r="AS54" s="1210">
        <v>1</v>
      </c>
    </row>
    <row s="61695" customFormat="1" customHeight="1" ht="1.05">
      <c r="A55" s="2035" t="s">
        <v>269</v>
      </c>
      <c r="B55" s="2035" t="s">
        <v>270</v>
      </c>
      <c r="C55" s="2006"/>
      <c r="D55" s="2006"/>
      <c r="E55" s="2951"/>
      <c r="F55" s="2950"/>
      <c r="G55" s="2006"/>
      <c r="H55" s="2006"/>
      <c r="I55" s="2006"/>
      <c r="J55" s="2006"/>
      <c r="K55" s="2006"/>
      <c r="L55" s="2031"/>
      <c r="M55" s="2013"/>
      <c r="N55" s="2013"/>
      <c r="P55" s="2008"/>
      <c r="Q55" s="2009"/>
      <c r="R55" s="2008"/>
      <c r="S55" s="2014"/>
      <c r="T55" s="2017" t="s">
        <v>172</v>
      </c>
      <c r="U55" s="2016"/>
      <c r="V55" s="2016"/>
      <c r="W55" s="2016"/>
      <c r="X55" s="2016"/>
      <c r="Y55" s="2016"/>
      <c r="Z55" s="2016"/>
      <c r="AA55" s="2016"/>
      <c r="AB55" s="2016"/>
      <c r="AC55" s="2016"/>
      <c r="AD55" s="2016"/>
      <c r="AE55" s="2016"/>
      <c r="AF55" s="2016"/>
      <c r="AG55" s="2016"/>
      <c r="AH55" s="2016"/>
      <c r="AI55" s="2016"/>
      <c r="AJ55" s="2016"/>
      <c r="AK55" s="2016"/>
      <c r="AL55" s="2016"/>
      <c r="AM55" s="2016"/>
      <c r="AO55" s="1481"/>
      <c r="AP55" s="1481" t="str">
        <f>IF(T55="","",T55)</f>
        <v>Добавить централизованную систему для дифференциации</v>
      </c>
      <c r="AQ55" s="1481"/>
      <c r="AR55" s="1481"/>
      <c r="AS55" s="1210">
        <v>1</v>
      </c>
    </row>
    <row s="61695" customFormat="1" customHeight="1" ht="1.05">
      <c r="A56" s="2035" t="s">
        <v>269</v>
      </c>
      <c r="B56" s="2035"/>
      <c r="C56" s="2035"/>
      <c r="D56" s="2035"/>
      <c r="E56" s="2950"/>
      <c r="F56" s="2035"/>
      <c r="G56" s="2035"/>
      <c r="H56" s="2035"/>
      <c r="I56" s="2035"/>
      <c r="J56" s="2035"/>
      <c r="K56" s="2035"/>
      <c r="L56" s="2038"/>
      <c r="M56" s="2013"/>
      <c r="N56" s="2013"/>
      <c r="O56" s="1210"/>
      <c r="P56" s="1072"/>
      <c r="Q56" s="2036"/>
      <c r="R56" s="1072"/>
      <c r="S56" s="2014"/>
      <c r="T56" s="2017" t="s">
        <v>173</v>
      </c>
      <c r="U56" s="2016"/>
      <c r="V56" s="2016"/>
      <c r="W56" s="2016"/>
      <c r="X56" s="2016"/>
      <c r="Y56" s="2016"/>
      <c r="Z56" s="2016"/>
      <c r="AA56" s="2016"/>
      <c r="AB56" s="2016"/>
      <c r="AC56" s="2016"/>
      <c r="AD56" s="2016"/>
      <c r="AE56" s="2016"/>
      <c r="AF56" s="2016"/>
      <c r="AG56" s="2016"/>
      <c r="AH56" s="2016"/>
      <c r="AI56" s="2016"/>
      <c r="AJ56" s="2016"/>
      <c r="AK56" s="2016"/>
      <c r="AL56" s="2016"/>
      <c r="AM56" s="2016"/>
      <c r="AO56" s="1192"/>
      <c r="AP56" s="1192" t="str">
        <f>IF(T56="","",T56)</f>
        <v>Добавить территорию для дифференциации</v>
      </c>
      <c r="AQ56" s="1192"/>
      <c r="AR56" s="1192"/>
      <c r="AS56" s="1203">
        <v>1</v>
      </c>
    </row>
    <row s="61695" customFormat="1" customHeight="1" ht="1.05">
      <c r="A57" s="2006"/>
      <c r="B57" s="2006"/>
      <c r="C57" s="2006"/>
      <c r="D57" s="2006"/>
      <c r="E57" s="2035"/>
      <c r="F57" s="2006"/>
      <c r="G57" s="2006"/>
      <c r="H57" s="2006"/>
      <c r="I57" s="2006"/>
      <c r="J57" s="2006"/>
      <c r="K57" s="2006"/>
      <c r="L57" s="2031"/>
      <c r="M57" s="2013"/>
      <c r="N57" s="2013"/>
      <c r="P57" s="2008"/>
      <c r="Q57" s="2009"/>
      <c r="R57" s="2008"/>
      <c r="S57" s="2014"/>
      <c r="T57" s="2017" t="s">
        <v>186</v>
      </c>
      <c r="U57" s="2016"/>
      <c r="V57" s="2016"/>
      <c r="W57" s="2016"/>
      <c r="X57" s="2016"/>
      <c r="Y57" s="2016"/>
      <c r="Z57" s="2016"/>
      <c r="AA57" s="2016"/>
      <c r="AB57" s="2016"/>
      <c r="AC57" s="2016"/>
      <c r="AD57" s="2016"/>
      <c r="AE57" s="2016"/>
      <c r="AF57" s="2016"/>
      <c r="AG57" s="2016"/>
      <c r="AH57" s="2016"/>
      <c r="AI57" s="2016"/>
      <c r="AJ57" s="2016"/>
      <c r="AK57" s="2016"/>
      <c r="AL57" s="2016"/>
      <c r="AM57" s="2016"/>
      <c r="AO57" s="1481"/>
      <c r="AP57" s="1481" t="str">
        <f>IF(T57="","",T57)</f>
        <v>Добавить наименование тарифа</v>
      </c>
      <c r="AQ57" s="1481"/>
      <c r="AR57" s="1481"/>
      <c r="AS57" s="1210">
        <v>1</v>
      </c>
    </row>
    <row customHeight="1" ht="11.549999999999999">
      <c r="M58" s="1852"/>
      <c r="N58" s="1852"/>
      <c r="O58" s="1229"/>
      <c r="P58" s="1847"/>
      <c r="Q58" s="1847"/>
      <c r="R58" s="1847"/>
      <c r="S58" s="1847"/>
      <c r="AN58" s="1847"/>
      <c r="AO58" s="1847"/>
      <c r="AP58" s="1847"/>
      <c r="AQ58" s="1847"/>
      <c r="AR58" s="1847"/>
      <c r="AS58" s="1847">
        <v>11</v>
      </c>
    </row>
    <row customHeight="1" ht="28.5">
      <c r="O59" s="1229"/>
      <c r="S59" s="1945"/>
      <c r="T59" s="2977"/>
      <c r="U59" s="2977"/>
      <c r="V59" s="2977"/>
      <c r="W59" s="2977"/>
      <c r="X59" s="2977"/>
      <c r="Y59" s="2977"/>
      <c r="Z59" s="2977"/>
      <c r="AA59" s="2977"/>
      <c r="AB59" s="2977"/>
      <c r="AC59" s="2977"/>
      <c r="AD59" s="2977"/>
      <c r="AE59" s="2977"/>
      <c r="AF59" s="2977"/>
      <c r="AG59" s="2977"/>
      <c r="AH59" s="2977"/>
      <c r="AI59" s="2977"/>
      <c r="AJ59" s="2977"/>
      <c r="AK59" s="2977"/>
      <c r="AL59" s="2977"/>
      <c r="AM59" s="2977"/>
      <c r="AS59" s="1847">
        <v>27</v>
      </c>
    </row>
    <row customHeight="1" ht="78.75">
      <c r="O60" s="1229"/>
      <c r="T60" s="2977"/>
      <c r="U60" s="2977"/>
      <c r="V60" s="2977"/>
      <c r="W60" s="2977"/>
      <c r="X60" s="2977"/>
      <c r="Y60" s="2977"/>
      <c r="Z60" s="2977"/>
      <c r="AA60" s="2977"/>
      <c r="AB60" s="2977"/>
      <c r="AC60" s="2977"/>
      <c r="AD60" s="2977"/>
      <c r="AE60" s="2977"/>
      <c r="AF60" s="2977"/>
      <c r="AG60" s="2977"/>
      <c r="AH60" s="2977"/>
      <c r="AI60" s="2977"/>
      <c r="AJ60" s="2977"/>
      <c r="AK60" s="2977"/>
      <c r="AL60" s="2977"/>
      <c r="AM60" s="2977"/>
      <c r="AS60" s="1847">
        <v>75</v>
      </c>
    </row>
    <row customHeight="1" ht="14.699999999999998">
      <c r="O61" s="1229"/>
      <c r="AS61" s="1847">
        <v>14</v>
      </c>
    </row>
    <row customHeight="1" ht="18.75">
      <c r="O62" s="1229"/>
      <c r="S62" s="1945"/>
      <c r="T62" s="2977"/>
      <c r="U62" s="2977"/>
      <c r="V62" s="2977"/>
      <c r="W62" s="2977"/>
      <c r="X62" s="2977"/>
      <c r="Y62" s="2977"/>
      <c r="Z62" s="2977"/>
      <c r="AA62" s="2977"/>
      <c r="AB62" s="2977"/>
      <c r="AC62" s="2977"/>
      <c r="AD62" s="2977"/>
      <c r="AE62" s="2977"/>
      <c r="AF62" s="2977"/>
      <c r="AG62" s="2977"/>
      <c r="AH62" s="2977"/>
      <c r="AI62" s="2977"/>
      <c r="AJ62" s="2977"/>
      <c r="AK62" s="2977"/>
      <c r="AL62" s="2977"/>
      <c r="AM62" s="2977"/>
      <c r="AS62" s="1847">
        <v>18</v>
      </c>
    </row>
    <row customHeight="1" ht="18.75">
      <c r="O63" s="1229"/>
      <c r="T63" s="2977"/>
      <c r="U63" s="2977"/>
      <c r="V63" s="2977"/>
      <c r="W63" s="2977"/>
      <c r="X63" s="2977"/>
      <c r="Y63" s="2977"/>
      <c r="Z63" s="2977"/>
      <c r="AA63" s="2977"/>
      <c r="AB63" s="2977"/>
      <c r="AC63" s="2977"/>
      <c r="AD63" s="2977"/>
      <c r="AE63" s="2977"/>
      <c r="AF63" s="2977"/>
      <c r="AG63" s="2977"/>
      <c r="AH63" s="2977"/>
      <c r="AI63" s="2977"/>
      <c r="AJ63" s="2977"/>
      <c r="AK63" s="2977"/>
      <c r="AL63" s="2977"/>
      <c r="AM63" s="2977"/>
      <c r="AS63" s="1847">
        <v>18</v>
      </c>
    </row>
    <row customHeight="1" ht="39.75">
      <c r="O64" s="1229"/>
      <c r="S64" s="1945"/>
      <c r="T64" s="2977"/>
      <c r="U64" s="2977"/>
      <c r="V64" s="2977"/>
      <c r="W64" s="2977"/>
      <c r="X64" s="2977"/>
      <c r="Y64" s="2977"/>
      <c r="Z64" s="2977"/>
      <c r="AA64" s="2977"/>
      <c r="AB64" s="2977"/>
      <c r="AC64" s="2977"/>
      <c r="AD64" s="2977"/>
      <c r="AE64" s="2977"/>
      <c r="AF64" s="2977"/>
      <c r="AG64" s="2977"/>
      <c r="AH64" s="2977"/>
      <c r="AI64" s="2977"/>
      <c r="AJ64" s="2977"/>
      <c r="AK64" s="2977"/>
      <c r="AL64" s="2977"/>
      <c r="AM64" s="2977"/>
      <c r="AS64" s="1847">
        <v>38</v>
      </c>
    </row>
    <row customHeight="1" ht="22.5" hidden="1">
      <c r="A65" s="1852" t="s">
        <v>83</v>
      </c>
      <c r="B65" s="1852">
        <v>0</v>
      </c>
      <c r="C65" s="1852">
        <v>0</v>
      </c>
      <c r="D65" s="1852">
        <v>0</v>
      </c>
      <c r="E65" s="1852">
        <v>0</v>
      </c>
      <c r="F65" s="1852">
        <v>0</v>
      </c>
      <c r="G65" s="1852">
        <v>0</v>
      </c>
      <c r="H65" s="1852">
        <v>0</v>
      </c>
      <c r="I65" s="1852">
        <v>0</v>
      </c>
      <c r="J65" s="1852">
        <v>0</v>
      </c>
      <c r="K65" s="1852">
        <v>0</v>
      </c>
      <c r="L65" s="2021">
        <v>0</v>
      </c>
      <c r="M65" s="2054">
        <v>0</v>
      </c>
      <c r="N65" s="2054">
        <v>0</v>
      </c>
      <c r="O65" s="2054">
        <v>0</v>
      </c>
      <c r="P65" s="2020">
        <v>3</v>
      </c>
      <c r="Q65" s="1036">
        <v>3</v>
      </c>
      <c r="R65" s="1036">
        <v>3</v>
      </c>
      <c r="S65" s="1273">
        <v>12</v>
      </c>
      <c r="T65" s="1847">
        <v>31</v>
      </c>
      <c r="U65" s="1847">
        <v>0</v>
      </c>
      <c r="V65" s="1847">
        <v>0</v>
      </c>
      <c r="W65" s="1847">
        <v>0</v>
      </c>
      <c r="X65" s="1847">
        <v>0</v>
      </c>
      <c r="Y65" s="1847">
        <v>0</v>
      </c>
      <c r="Z65" s="1847">
        <v>0</v>
      </c>
      <c r="AA65" s="1847">
        <v>0</v>
      </c>
      <c r="AB65" s="1847">
        <v>0</v>
      </c>
      <c r="AC65" s="1847">
        <v>0</v>
      </c>
      <c r="AD65" s="1847">
        <v>0</v>
      </c>
      <c r="AE65" s="1847">
        <v>24</v>
      </c>
      <c r="AF65" s="1847">
        <v>0</v>
      </c>
      <c r="AG65" s="1847">
        <v>0</v>
      </c>
      <c r="AH65" s="1847">
        <v>11</v>
      </c>
      <c r="AI65" s="1847">
        <v>3</v>
      </c>
      <c r="AJ65" s="1847">
        <v>11</v>
      </c>
      <c r="AK65" s="1847">
        <v>0</v>
      </c>
      <c r="AL65" s="1847">
        <v>4</v>
      </c>
      <c r="AM65" s="1847">
        <v>115</v>
      </c>
      <c r="AN65" s="1203">
        <v>10</v>
      </c>
      <c r="AO65" s="1203">
        <v>10</v>
      </c>
      <c r="AP65" s="1203">
        <v>10</v>
      </c>
      <c r="AQ65" s="1203">
        <v>10</v>
      </c>
      <c r="AR65" s="1203">
        <v>10</v>
      </c>
      <c r="AS65" s="1847">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D90781-AD81-812B-869F-913FD39D752A}" mc:Ignorable="x14ac xr xr2 xr3">
  <sheetPr>
    <tabColor theme="6" tint="0.4"/>
  </sheetPr>
  <dimension ref="A1:BY94"/>
  <sheetViews>
    <sheetView showGridLines="0" zoomScale="90" workbookViewId="0">
      <pane xSplit="29" ySplit="42" topLeftCell="AD43" activePane="bottomRight" state="frozen"/>
      <selection pane="bottomLeft" activeCell="A43" sqref="A43"/>
      <selection pane="topRight" activeCell="AD1" sqref="AD1"/>
      <selection pane="bottomRight" activeCell="AN80" sqref="AN80"/>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2.00390625" hidden="1" customWidth="1"/>
    <col min="10" max="10" style="62148" width="9.8515625" hidden="1" customWidth="1"/>
    <col min="11" max="11" style="62148" width="11.421875" hidden="1" customWidth="1"/>
    <col min="12" max="12" style="63164" width="19.140625" hidden="1" customWidth="1"/>
    <col min="13" max="14" style="61371" width="12.28125" hidden="1" customWidth="1"/>
    <col min="15" max="15" style="61371" width="23.421875" hidden="1" customWidth="1"/>
    <col min="16" max="16" style="63184" width="3.7109375" hidden="1" customWidth="1"/>
    <col min="17" max="18" style="62288" width="3.00390625" customWidth="1"/>
    <col min="19" max="19" style="63156" width="12.00390625" customWidth="1"/>
    <col min="20" max="20" style="62286" width="31.00390625" customWidth="1"/>
    <col min="21" max="21" style="62286" width="0.140625" customWidth="1"/>
    <col min="22" max="22" style="62286" width="24.7109375" hidden="1" customWidth="1"/>
    <col min="23" max="23" style="62286" width="0.140625" hidden="1" customWidth="1"/>
    <col min="24" max="25" style="62286" width="24.7109375" hidden="1" customWidth="1"/>
    <col min="26" max="26" style="62286" width="11.7109375" hidden="1" customWidth="1"/>
    <col min="27" max="27" style="62286" width="3.7109375" hidden="1" customWidth="1"/>
    <col min="28" max="28" style="62286" width="11.7109375" hidden="1" customWidth="1"/>
    <col min="29" max="29" style="62286" width="8.57421875" hidden="1" customWidth="1"/>
    <col min="30" max="30" style="62286" width="24.00390625" customWidth="1"/>
    <col min="31" max="31" style="62286" width="0.140625" customWidth="1"/>
    <col min="32" max="33" style="62286" width="24.00390625" customWidth="1"/>
    <col min="34" max="34" style="62286" width="11.00390625" customWidth="1"/>
    <col min="35" max="35" style="62286" width="3.7109375" customWidth="1"/>
    <col min="36" max="36" style="62286" width="11.00390625" customWidth="1"/>
    <col min="37" max="37" style="62286" width="8.57421875" customWidth="1"/>
    <col min="39" max="39" style="63225" width="0" customWidth="1"/>
    <col min="40" max="40" style="63225" width="11.421875" customWidth="1"/>
    <col min="41" max="41" style="63225" width="12.57421875" customWidth="1"/>
    <col min="43" max="43" style="63225" width="3.8515625" customWidth="1"/>
    <col min="45" max="45" style="63225" width="5.421875" customWidth="1"/>
    <col min="47" max="47" style="63225" width="0" customWidth="1"/>
    <col min="48" max="48" style="63225" width="10.140625" customWidth="1"/>
    <col min="49" max="49" style="63225" width="13.7109375" customWidth="1"/>
    <col min="51" max="51" style="63225" width="5.57421875" customWidth="1"/>
    <col min="53" max="53" style="63225" width="4.8515625" customWidth="1"/>
    <col min="54" max="54" style="63225" width="15.421875" customWidth="1"/>
    <col min="55" max="55" style="63225" width="0.140625" customWidth="1"/>
    <col min="56" max="56" style="63225" width="8.57421875" customWidth="1"/>
    <col min="57" max="57" style="63225" width="17.140625" customWidth="1"/>
    <col min="59" max="59" style="63225" width="5.140625" customWidth="1"/>
    <col min="61" max="61" style="63225" width="4.140625" customWidth="1"/>
    <col min="62" max="62" style="63225" width="7.7109375" customWidth="1"/>
    <col min="63" max="63" style="63225" width="0" customWidth="1"/>
    <col min="64" max="64" style="63225" width="13.140625" customWidth="1"/>
    <col min="65" max="65" style="63225" width="11.00390625" customWidth="1"/>
    <col min="67" max="67" style="63225" width="6.140625" customWidth="1"/>
    <col min="69" max="69" style="63225" width="10.57421875" hidden="1"/>
    <col min="70" max="70" style="62286" width="4.00390625" customWidth="1"/>
    <col min="71" max="71" style="62286" width="115.00390625" customWidth="1"/>
    <col min="72" max="76" style="61695" width="10.00390625" customWidth="1"/>
    <col min="77" max="77" style="62286" width="8.421875" hidden="1" customWidth="1"/>
  </cols>
  <sheetData>
    <row customHeight="1" ht="22.5" hidden="1">
      <c r="Y1" s="1019"/>
      <c r="Z1" s="1019"/>
      <c r="AG1" s="1019"/>
      <c r="AH1" s="1019"/>
      <c r="AL1" s="7330"/>
      <c r="AM1" s="7330"/>
      <c r="AN1" s="7330"/>
      <c r="AO1" s="7330"/>
      <c r="AP1" s="7330"/>
      <c r="AQ1" s="7330"/>
      <c r="AR1" s="7330"/>
      <c r="AS1" s="7330"/>
      <c r="AT1" s="7330"/>
      <c r="AU1" s="7330"/>
      <c r="AV1" s="7330"/>
      <c r="AW1" s="7330"/>
      <c r="AX1" s="7330"/>
      <c r="AY1" s="7330"/>
      <c r="AZ1" s="7330"/>
      <c r="BA1" s="7330"/>
      <c r="BB1" s="7330"/>
      <c r="BC1" s="7330"/>
      <c r="BD1" s="7330"/>
      <c r="BE1" s="7330"/>
      <c r="BF1" s="7330"/>
      <c r="BG1" s="7330"/>
      <c r="BH1" s="7330"/>
      <c r="BI1" s="7330"/>
      <c r="BJ1" s="7330"/>
      <c r="BK1" s="7330"/>
      <c r="BL1" s="7330"/>
      <c r="BM1" s="7330"/>
      <c r="BN1" s="7330"/>
      <c r="BO1" s="7330"/>
      <c r="BP1" s="7330"/>
      <c r="BQ1" s="7330"/>
      <c r="BY1" s="1847" t="s">
        <v>14</v>
      </c>
    </row>
    <row customHeight="1" ht="21" hidden="1">
      <c r="A2" s="2055"/>
      <c r="B2" s="2055"/>
      <c r="C2" s="2055"/>
      <c r="D2" s="2055"/>
      <c r="E2" s="2950">
        <v>1</v>
      </c>
      <c r="F2" s="2055"/>
      <c r="G2" s="2055"/>
      <c r="H2" s="2055"/>
      <c r="I2" s="2055"/>
      <c r="J2" s="2055"/>
      <c r="K2" s="2055"/>
      <c r="L2" s="2056"/>
      <c r="M2" s="2057"/>
      <c r="N2" s="2057"/>
      <c r="O2" s="2057"/>
      <c r="P2" s="1053"/>
      <c r="Q2" s="1052"/>
      <c r="R2" s="1047"/>
      <c r="S2" s="2028">
        <f>INDEX(PT_DIFFERENTIATION_NUM_NTAR,MATCH(A2,PT_DIFFERENTIATION_NTAR_ID,0))</f>
      </c>
      <c r="T2" s="990" t="s">
        <v>131</v>
      </c>
      <c r="U2" s="992"/>
      <c r="V2" s="2934"/>
      <c r="W2" s="2935"/>
      <c r="X2" s="2935"/>
      <c r="Y2" s="2935"/>
      <c r="Z2" s="2935"/>
      <c r="AA2" s="2935"/>
      <c r="AB2" s="2935"/>
      <c r="AC2" s="2936"/>
      <c r="AD2" s="2934">
        <f>INDEX(PT_DIFFERENTIATION_NTAR,MATCH(A2,PT_DIFFERENTIATION_NTAR_ID,0))</f>
      </c>
      <c r="AE2" s="2935"/>
      <c r="AF2" s="2935"/>
      <c r="AG2" s="2935"/>
      <c r="AH2" s="2935"/>
      <c r="AI2" s="2935"/>
      <c r="AJ2" s="2935"/>
      <c r="AK2" s="2935"/>
      <c r="AL2" s="7331"/>
      <c r="AM2" s="7332"/>
      <c r="AN2" s="7332"/>
      <c r="AO2" s="7332"/>
      <c r="AP2" s="7332"/>
      <c r="AQ2" s="7332"/>
      <c r="AR2" s="7332"/>
      <c r="AS2" s="7333"/>
      <c r="AT2" s="7331"/>
      <c r="AU2" s="7332"/>
      <c r="AV2" s="7332"/>
      <c r="AW2" s="7332"/>
      <c r="AX2" s="7332"/>
      <c r="AY2" s="7332"/>
      <c r="AZ2" s="7332"/>
      <c r="BA2" s="7333"/>
      <c r="BB2" s="7331"/>
      <c r="BC2" s="7332"/>
      <c r="BD2" s="7332"/>
      <c r="BE2" s="7332"/>
      <c r="BF2" s="7332"/>
      <c r="BG2" s="7332"/>
      <c r="BH2" s="7332"/>
      <c r="BI2" s="7333"/>
      <c r="BJ2" s="7331"/>
      <c r="BK2" s="7332"/>
      <c r="BL2" s="7332"/>
      <c r="BM2" s="7332"/>
      <c r="BN2" s="7332"/>
      <c r="BO2" s="7332"/>
      <c r="BP2" s="7332"/>
      <c r="BQ2" s="7333"/>
      <c r="BR2" s="2936"/>
      <c r="BS2" s="1950" t="s">
        <v>471</v>
      </c>
      <c r="BU2" s="1192"/>
      <c r="BV2" s="1192" t="str">
        <f>IF(T2="","",T2)</f>
        <v>Наименование тарифа</v>
      </c>
      <c r="BW2" s="1192"/>
      <c r="BX2" s="1192"/>
      <c r="BY2" s="1847">
        <v>0</v>
      </c>
    </row>
    <row customHeight="1" ht="21" hidden="1">
      <c r="A3" s="2055"/>
      <c r="B3" s="2055"/>
      <c r="C3" s="2055"/>
      <c r="D3" s="2055"/>
      <c r="E3" s="2951"/>
      <c r="F3" s="2950">
        <v>1</v>
      </c>
      <c r="G3" s="2055"/>
      <c r="H3" s="2055"/>
      <c r="I3" s="2055"/>
      <c r="J3" s="2055"/>
      <c r="K3" s="2055"/>
      <c r="L3" s="2056"/>
      <c r="M3" s="2057"/>
      <c r="N3" s="2057"/>
      <c r="O3" s="2057"/>
      <c r="P3" s="2024"/>
      <c r="Q3" s="1044"/>
      <c r="R3" s="1045"/>
      <c r="S3" s="2028">
        <f>INDEX(PT_DIFFERENTIATION_NUM_TER,MATCH(B3,PT_DIFFERENTIATION_TER_ID,0))</f>
      </c>
      <c r="T3" s="1000" t="s">
        <v>472</v>
      </c>
      <c r="U3" s="992"/>
      <c r="V3" s="2934"/>
      <c r="W3" s="2935"/>
      <c r="X3" s="2935"/>
      <c r="Y3" s="2935"/>
      <c r="Z3" s="2935"/>
      <c r="AA3" s="2935"/>
      <c r="AB3" s="2935"/>
      <c r="AC3" s="2936"/>
      <c r="AD3" s="2934">
        <f>INDEX(PT_DIFFERENTIATION_TER,MATCH(B3,PT_DIFFERENTIATION_TER_ID,0))</f>
      </c>
      <c r="AE3" s="2935"/>
      <c r="AF3" s="2935"/>
      <c r="AG3" s="2935"/>
      <c r="AH3" s="2935"/>
      <c r="AI3" s="2935"/>
      <c r="AJ3" s="2935"/>
      <c r="AK3" s="2935"/>
      <c r="AL3" s="7331"/>
      <c r="AM3" s="7332"/>
      <c r="AN3" s="7332"/>
      <c r="AO3" s="7332"/>
      <c r="AP3" s="7332"/>
      <c r="AQ3" s="7332"/>
      <c r="AR3" s="7332"/>
      <c r="AS3" s="7333"/>
      <c r="AT3" s="7331"/>
      <c r="AU3" s="7332"/>
      <c r="AV3" s="7332"/>
      <c r="AW3" s="7332"/>
      <c r="AX3" s="7332"/>
      <c r="AY3" s="7332"/>
      <c r="AZ3" s="7332"/>
      <c r="BA3" s="7333"/>
      <c r="BB3" s="7331"/>
      <c r="BC3" s="7332"/>
      <c r="BD3" s="7332"/>
      <c r="BE3" s="7332"/>
      <c r="BF3" s="7332"/>
      <c r="BG3" s="7332"/>
      <c r="BH3" s="7332"/>
      <c r="BI3" s="7333"/>
      <c r="BJ3" s="7331"/>
      <c r="BK3" s="7332"/>
      <c r="BL3" s="7332"/>
      <c r="BM3" s="7332"/>
      <c r="BN3" s="7332"/>
      <c r="BO3" s="7332"/>
      <c r="BP3" s="7332"/>
      <c r="BQ3" s="7333"/>
      <c r="BR3" s="2936"/>
      <c r="BS3" s="1950" t="s">
        <v>473</v>
      </c>
      <c r="BU3" s="1192"/>
      <c r="BV3" s="1192" t="str">
        <f>IF(T3="","",T3)</f>
        <v>Территория действия тарифа</v>
      </c>
      <c r="BW3" s="1192"/>
      <c r="BX3" s="1192"/>
      <c r="BY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028">
        <f>INDEX(PT_DIFFERENTIATION_NUM_CS,MATCH(C4,PT_DIFFERENTIATION_CS_ID,0))</f>
      </c>
      <c r="T4" s="1001" t="s">
        <v>474</v>
      </c>
      <c r="U4" s="992"/>
      <c r="V4" s="2934"/>
      <c r="W4" s="2935"/>
      <c r="X4" s="2935"/>
      <c r="Y4" s="2935"/>
      <c r="Z4" s="2935"/>
      <c r="AA4" s="2935"/>
      <c r="AB4" s="2935"/>
      <c r="AC4" s="2936"/>
      <c r="AD4" s="2934">
        <f>INDEX(PT_DIFFERENTIATION_CS,MATCH(C4,PT_DIFFERENTIATION_CS_ID,0))</f>
      </c>
      <c r="AE4" s="2935"/>
      <c r="AF4" s="2935"/>
      <c r="AG4" s="2935"/>
      <c r="AH4" s="2935"/>
      <c r="AI4" s="2935"/>
      <c r="AJ4" s="2935"/>
      <c r="AK4" s="2935"/>
      <c r="AL4" s="7331"/>
      <c r="AM4" s="7332"/>
      <c r="AN4" s="7332"/>
      <c r="AO4" s="7332"/>
      <c r="AP4" s="7332"/>
      <c r="AQ4" s="7332"/>
      <c r="AR4" s="7332"/>
      <c r="AS4" s="7333"/>
      <c r="AT4" s="7331"/>
      <c r="AU4" s="7332"/>
      <c r="AV4" s="7332"/>
      <c r="AW4" s="7332"/>
      <c r="AX4" s="7332"/>
      <c r="AY4" s="7332"/>
      <c r="AZ4" s="7332"/>
      <c r="BA4" s="7333"/>
      <c r="BB4" s="7331"/>
      <c r="BC4" s="7332"/>
      <c r="BD4" s="7332"/>
      <c r="BE4" s="7332"/>
      <c r="BF4" s="7332"/>
      <c r="BG4" s="7332"/>
      <c r="BH4" s="7332"/>
      <c r="BI4" s="7333"/>
      <c r="BJ4" s="7331"/>
      <c r="BK4" s="7332"/>
      <c r="BL4" s="7332"/>
      <c r="BM4" s="7332"/>
      <c r="BN4" s="7332"/>
      <c r="BO4" s="7332"/>
      <c r="BP4" s="7332"/>
      <c r="BQ4" s="7333"/>
      <c r="BR4" s="2936"/>
      <c r="BS4" s="1950" t="s">
        <v>475</v>
      </c>
      <c r="BU4" s="1192"/>
      <c r="BV4" s="1192" t="str">
        <f>IF(T4="","",T4)</f>
        <v>Наименование системы теплоснабжения </v>
      </c>
      <c r="BW4" s="1192"/>
      <c r="BX4" s="1192"/>
      <c r="BY4" s="1847">
        <v>0</v>
      </c>
    </row>
    <row customHeight="1" ht="21" hidden="1">
      <c r="A5" s="2055"/>
      <c r="B5" s="2055"/>
      <c r="C5" s="2055"/>
      <c r="D5" s="2055"/>
      <c r="E5" s="2951"/>
      <c r="F5" s="2951"/>
      <c r="G5" s="2951"/>
      <c r="H5" s="2950">
        <v>1</v>
      </c>
      <c r="I5" s="2055"/>
      <c r="J5" s="2055"/>
      <c r="K5" s="2055"/>
      <c r="L5" s="2056"/>
      <c r="M5" s="2057"/>
      <c r="N5" s="2057"/>
      <c r="O5" s="2057"/>
      <c r="P5" s="1046"/>
      <c r="Q5" s="1044"/>
      <c r="R5" s="1045"/>
      <c r="S5" s="2028">
        <f>INDEX(PT_DIFFERENTIATION_NUM_IST_TE,MATCH(D5,PT_DIFFERENTIATION_IST_TE_ID,0))</f>
      </c>
      <c r="T5" s="1002" t="s">
        <v>476</v>
      </c>
      <c r="U5" s="992"/>
      <c r="V5" s="2934"/>
      <c r="W5" s="2935"/>
      <c r="X5" s="2935"/>
      <c r="Y5" s="2935"/>
      <c r="Z5" s="2935"/>
      <c r="AA5" s="2935"/>
      <c r="AB5" s="2935"/>
      <c r="AC5" s="2936"/>
      <c r="AD5" s="2934">
        <f>INDEX(PT_DIFFERENTIATION_IST_TE,MATCH(D5,PT_DIFFERENTIATION_IST_TE_ID,0))</f>
      </c>
      <c r="AE5" s="2935"/>
      <c r="AF5" s="2935"/>
      <c r="AG5" s="2935"/>
      <c r="AH5" s="2935"/>
      <c r="AI5" s="2935"/>
      <c r="AJ5" s="2935"/>
      <c r="AK5" s="2935"/>
      <c r="AL5" s="7331"/>
      <c r="AM5" s="7332"/>
      <c r="AN5" s="7332"/>
      <c r="AO5" s="7332"/>
      <c r="AP5" s="7332"/>
      <c r="AQ5" s="7332"/>
      <c r="AR5" s="7332"/>
      <c r="AS5" s="7333"/>
      <c r="AT5" s="7331"/>
      <c r="AU5" s="7332"/>
      <c r="AV5" s="7332"/>
      <c r="AW5" s="7332"/>
      <c r="AX5" s="7332"/>
      <c r="AY5" s="7332"/>
      <c r="AZ5" s="7332"/>
      <c r="BA5" s="7333"/>
      <c r="BB5" s="7331"/>
      <c r="BC5" s="7332"/>
      <c r="BD5" s="7332"/>
      <c r="BE5" s="7332"/>
      <c r="BF5" s="7332"/>
      <c r="BG5" s="7332"/>
      <c r="BH5" s="7332"/>
      <c r="BI5" s="7333"/>
      <c r="BJ5" s="7331"/>
      <c r="BK5" s="7332"/>
      <c r="BL5" s="7332"/>
      <c r="BM5" s="7332"/>
      <c r="BN5" s="7332"/>
      <c r="BO5" s="7332"/>
      <c r="BP5" s="7332"/>
      <c r="BQ5" s="7333"/>
      <c r="BR5" s="2936"/>
      <c r="BS5" s="1950" t="s">
        <v>477</v>
      </c>
      <c r="BU5" s="1192"/>
      <c r="BV5" s="1192" t="str">
        <f>IF(T5="","",T5)</f>
        <v>Источник тепловой энергии  </v>
      </c>
      <c r="BW5" s="1192"/>
      <c r="BX5" s="1192"/>
      <c r="BY5" s="1847">
        <v>0</v>
      </c>
    </row>
    <row customHeight="1" ht="14.25" hidden="1">
      <c r="A6" s="2055"/>
      <c r="B6" s="2055"/>
      <c r="C6" s="2055"/>
      <c r="D6" s="2055"/>
      <c r="E6" s="2951"/>
      <c r="F6" s="2951"/>
      <c r="G6" s="2951"/>
      <c r="H6" s="2951"/>
      <c r="I6" s="2948">
        <f>S5&amp;".1"</f>
      </c>
      <c r="J6" s="2055"/>
      <c r="K6" s="2055"/>
      <c r="L6" s="2056" t="s">
        <v>478</v>
      </c>
      <c r="M6" s="1229"/>
      <c r="P6" s="2949">
        <v>1</v>
      </c>
      <c r="Q6" s="2023"/>
      <c r="R6" s="1048"/>
      <c r="S6" s="1734"/>
      <c r="T6" s="2075"/>
      <c r="U6" s="2076"/>
      <c r="V6" s="2988"/>
      <c r="W6" s="2989"/>
      <c r="X6" s="2989"/>
      <c r="Y6" s="2989"/>
      <c r="Z6" s="2989"/>
      <c r="AA6" s="2989"/>
      <c r="AB6" s="2989"/>
      <c r="AC6" s="2990"/>
      <c r="AD6" s="2988"/>
      <c r="AE6" s="2989"/>
      <c r="AF6" s="2989"/>
      <c r="AG6" s="2989"/>
      <c r="AH6" s="2989"/>
      <c r="AI6" s="2989"/>
      <c r="AJ6" s="2989"/>
      <c r="AK6" s="2989"/>
      <c r="AL6" s="7340"/>
      <c r="AM6" s="7341"/>
      <c r="AN6" s="7341"/>
      <c r="AO6" s="7341"/>
      <c r="AP6" s="7341"/>
      <c r="AQ6" s="7341"/>
      <c r="AR6" s="7341"/>
      <c r="AS6" s="7342"/>
      <c r="AT6" s="7340"/>
      <c r="AU6" s="7341"/>
      <c r="AV6" s="7341"/>
      <c r="AW6" s="7341"/>
      <c r="AX6" s="7341"/>
      <c r="AY6" s="7341"/>
      <c r="AZ6" s="7341"/>
      <c r="BA6" s="7342"/>
      <c r="BB6" s="7340"/>
      <c r="BC6" s="7341"/>
      <c r="BD6" s="7341"/>
      <c r="BE6" s="7341"/>
      <c r="BF6" s="7341"/>
      <c r="BG6" s="7341"/>
      <c r="BH6" s="7341"/>
      <c r="BI6" s="7342"/>
      <c r="BJ6" s="7340"/>
      <c r="BK6" s="7341"/>
      <c r="BL6" s="7341"/>
      <c r="BM6" s="7341"/>
      <c r="BN6" s="7341"/>
      <c r="BO6" s="7341"/>
      <c r="BP6" s="7341"/>
      <c r="BQ6" s="7342"/>
      <c r="BR6" s="2990"/>
      <c r="BS6" s="2077"/>
      <c r="BU6" s="1192"/>
      <c r="BV6" s="1192" t="str">
        <f>IF(T6="","",T6)</f>
        <v/>
      </c>
      <c r="BW6" s="1192"/>
      <c r="BX6" s="1192"/>
      <c r="BY6" s="1847">
        <v>0</v>
      </c>
    </row>
    <row customHeight="1" ht="21" hidden="1">
      <c r="A7" s="2055"/>
      <c r="B7" s="2055"/>
      <c r="C7" s="2055"/>
      <c r="D7" s="2055"/>
      <c r="E7" s="2951"/>
      <c r="F7" s="2951"/>
      <c r="G7" s="2951"/>
      <c r="H7" s="2951"/>
      <c r="I7" s="2978"/>
      <c r="J7" s="2948">
        <f>I6&amp;".1"</f>
      </c>
      <c r="K7" s="2055"/>
      <c r="L7" s="2056" t="s">
        <v>481</v>
      </c>
      <c r="M7" s="1229"/>
      <c r="N7" s="2058"/>
      <c r="P7" s="2949"/>
      <c r="Q7" s="2949">
        <v>1</v>
      </c>
      <c r="R7" s="1049"/>
      <c r="S7" s="2028">
        <f>$J7</f>
      </c>
      <c r="T7" s="978" t="s">
        <v>482</v>
      </c>
      <c r="U7" s="992"/>
      <c r="V7" s="2937"/>
      <c r="W7" s="2938"/>
      <c r="X7" s="2938"/>
      <c r="Y7" s="2938"/>
      <c r="Z7" s="2938"/>
      <c r="AA7" s="2938"/>
      <c r="AB7" s="2938"/>
      <c r="AC7" s="2939"/>
      <c r="AD7" s="2937"/>
      <c r="AE7" s="2938"/>
      <c r="AF7" s="2938"/>
      <c r="AG7" s="2938"/>
      <c r="AH7" s="2938"/>
      <c r="AI7" s="2938"/>
      <c r="AJ7" s="2938"/>
      <c r="AK7" s="2938"/>
      <c r="AL7" s="7344"/>
      <c r="AM7" s="7345"/>
      <c r="AN7" s="7345"/>
      <c r="AO7" s="7345"/>
      <c r="AP7" s="7345"/>
      <c r="AQ7" s="7345"/>
      <c r="AR7" s="7345"/>
      <c r="AS7" s="7346"/>
      <c r="AT7" s="7344"/>
      <c r="AU7" s="7345"/>
      <c r="AV7" s="7345"/>
      <c r="AW7" s="7345"/>
      <c r="AX7" s="7345"/>
      <c r="AY7" s="7345"/>
      <c r="AZ7" s="7345"/>
      <c r="BA7" s="7346"/>
      <c r="BB7" s="7344"/>
      <c r="BC7" s="7345"/>
      <c r="BD7" s="7345"/>
      <c r="BE7" s="7345"/>
      <c r="BF7" s="7345"/>
      <c r="BG7" s="7345"/>
      <c r="BH7" s="7345"/>
      <c r="BI7" s="7346"/>
      <c r="BJ7" s="7344"/>
      <c r="BK7" s="7345"/>
      <c r="BL7" s="7345"/>
      <c r="BM7" s="7345"/>
      <c r="BN7" s="7345"/>
      <c r="BO7" s="7345"/>
      <c r="BP7" s="7345"/>
      <c r="BQ7" s="7346"/>
      <c r="BR7" s="2939"/>
      <c r="BS7" s="1950" t="s">
        <v>483</v>
      </c>
      <c r="BU7" s="1192"/>
      <c r="BV7" s="1192" t="str">
        <f>IF(T7="","",T7)</f>
        <v>Группа потребителей</v>
      </c>
      <c r="BW7" s="1192"/>
      <c r="BX7" s="1192"/>
      <c r="BY7" s="1847">
        <v>0</v>
      </c>
    </row>
    <row customHeight="1" ht="21" hidden="1">
      <c r="A8" s="2055"/>
      <c r="B8" s="2055"/>
      <c r="C8" s="2055"/>
      <c r="D8" s="2055"/>
      <c r="E8" s="2951"/>
      <c r="F8" s="2951"/>
      <c r="G8" s="2951"/>
      <c r="H8" s="2951"/>
      <c r="I8" s="2978"/>
      <c r="J8" s="2978"/>
      <c r="K8" s="2948">
        <f>J7&amp;".1"</f>
      </c>
      <c r="L8" s="2056" t="s">
        <v>484</v>
      </c>
      <c r="M8" s="1229"/>
      <c r="N8" s="2058"/>
      <c r="O8" s="2058"/>
      <c r="P8" s="2949"/>
      <c r="Q8" s="2949"/>
      <c r="R8" s="1049">
        <v>1</v>
      </c>
      <c r="S8" s="2028">
        <f>$K8</f>
      </c>
      <c r="T8" s="2039"/>
      <c r="U8" s="992"/>
      <c r="V8" s="1443"/>
      <c r="W8" s="1017"/>
      <c r="X8" s="1443"/>
      <c r="Y8" s="1949"/>
      <c r="Z8" s="2957"/>
      <c r="AA8" s="2799" t="s">
        <v>67</v>
      </c>
      <c r="AB8" s="2957"/>
      <c r="AC8" s="2799" t="s">
        <v>67</v>
      </c>
      <c r="AD8" s="1443"/>
      <c r="AE8" s="1017"/>
      <c r="AF8" s="1443"/>
      <c r="AG8" s="1949"/>
      <c r="AH8" s="2957"/>
      <c r="AI8" s="2799" t="s">
        <v>67</v>
      </c>
      <c r="AJ8" s="2957"/>
      <c r="AK8" s="2799" t="s">
        <v>67</v>
      </c>
      <c r="AL8" s="7347"/>
      <c r="AM8" s="7348"/>
      <c r="AN8" s="7347"/>
      <c r="AO8" s="7349"/>
      <c r="AP8" s="7350"/>
      <c r="AQ8" s="7351" t="s">
        <v>67</v>
      </c>
      <c r="AR8" s="7350"/>
      <c r="AS8" s="7351" t="s">
        <v>67</v>
      </c>
      <c r="AT8" s="7347"/>
      <c r="AU8" s="7348"/>
      <c r="AV8" s="7347"/>
      <c r="AW8" s="7349"/>
      <c r="AX8" s="7350"/>
      <c r="AY8" s="7351" t="s">
        <v>67</v>
      </c>
      <c r="AZ8" s="7350"/>
      <c r="BA8" s="7351" t="s">
        <v>67</v>
      </c>
      <c r="BB8" s="7347"/>
      <c r="BC8" s="7348"/>
      <c r="BD8" s="7347"/>
      <c r="BE8" s="7349"/>
      <c r="BF8" s="7350"/>
      <c r="BG8" s="7351" t="s">
        <v>67</v>
      </c>
      <c r="BH8" s="7350"/>
      <c r="BI8" s="7351" t="s">
        <v>67</v>
      </c>
      <c r="BJ8" s="7347"/>
      <c r="BK8" s="7348"/>
      <c r="BL8" s="7347"/>
      <c r="BM8" s="7349"/>
      <c r="BN8" s="7350"/>
      <c r="BO8" s="7351" t="s">
        <v>67</v>
      </c>
      <c r="BP8" s="7350"/>
      <c r="BQ8" s="7351" t="s">
        <v>67</v>
      </c>
      <c r="BR8" s="1017"/>
      <c r="BS8" s="2945" t="s">
        <v>485</v>
      </c>
      <c r="BT8" s="1203">
        <f>STRCHECKDATE(V9:BR9)</f>
      </c>
      <c r="BU8" s="1192"/>
      <c r="BV8" s="1192" t="str">
        <f>IF(T8="","",T8)</f>
        <v/>
      </c>
      <c r="BW8" s="1192"/>
      <c r="BX8" s="1192"/>
      <c r="BY8" s="1847">
        <v>0</v>
      </c>
    </row>
    <row customHeight="1" ht="0.75" hidden="1">
      <c r="A9" s="2055"/>
      <c r="B9" s="2055"/>
      <c r="C9" s="2055"/>
      <c r="D9" s="2055"/>
      <c r="E9" s="2951"/>
      <c r="F9" s="2951"/>
      <c r="G9" s="2951"/>
      <c r="H9" s="2951"/>
      <c r="I9" s="2978"/>
      <c r="J9" s="2978"/>
      <c r="K9" s="2948"/>
      <c r="L9" s="2056"/>
      <c r="M9" s="1229"/>
      <c r="N9" s="2058"/>
      <c r="O9" s="2058"/>
      <c r="P9" s="2949"/>
      <c r="Q9" s="2949"/>
      <c r="R9" s="1049"/>
      <c r="S9" s="2034"/>
      <c r="T9" s="992"/>
      <c r="U9" s="992"/>
      <c r="V9" s="1017"/>
      <c r="W9" s="1017"/>
      <c r="X9" s="1017"/>
      <c r="Y9" s="1020" t="str">
        <f>Z8&amp;"-"&amp;AB8</f>
        <v>-</v>
      </c>
      <c r="Z9" s="2958"/>
      <c r="AA9" s="2799"/>
      <c r="AB9" s="2958"/>
      <c r="AC9" s="2799"/>
      <c r="AD9" s="1017"/>
      <c r="AE9" s="1017"/>
      <c r="AF9" s="1017"/>
      <c r="AG9" s="1020" t="str">
        <f>AH8&amp;"-"&amp;AJ8</f>
        <v>-</v>
      </c>
      <c r="AH9" s="2958"/>
      <c r="AI9" s="2799"/>
      <c r="AJ9" s="2958"/>
      <c r="AK9" s="2799"/>
      <c r="AL9" s="7348"/>
      <c r="AM9" s="7348"/>
      <c r="AN9" s="7348"/>
      <c r="AO9" s="7352" t="str">
        <f>AP8&amp;"-"&amp;AR8</f>
        <v>-</v>
      </c>
      <c r="AP9" s="7353"/>
      <c r="AQ9" s="7351"/>
      <c r="AR9" s="7353"/>
      <c r="AS9" s="7351"/>
      <c r="AT9" s="7348"/>
      <c r="AU9" s="7348"/>
      <c r="AV9" s="7348"/>
      <c r="AW9" s="7352" t="str">
        <f>AX8&amp;"-"&amp;AZ8</f>
        <v>-</v>
      </c>
      <c r="AX9" s="7353"/>
      <c r="AY9" s="7351"/>
      <c r="AZ9" s="7353"/>
      <c r="BA9" s="7351"/>
      <c r="BB9" s="7348"/>
      <c r="BC9" s="7348"/>
      <c r="BD9" s="7348"/>
      <c r="BE9" s="7352" t="str">
        <f>BF8&amp;"-"&amp;BH8</f>
        <v>-</v>
      </c>
      <c r="BF9" s="7353"/>
      <c r="BG9" s="7351"/>
      <c r="BH9" s="7353"/>
      <c r="BI9" s="7351"/>
      <c r="BJ9" s="7348"/>
      <c r="BK9" s="7348"/>
      <c r="BL9" s="7348"/>
      <c r="BM9" s="7352" t="str">
        <f>BN8&amp;"-"&amp;BP8</f>
        <v>-</v>
      </c>
      <c r="BN9" s="7353"/>
      <c r="BO9" s="7351"/>
      <c r="BP9" s="7353"/>
      <c r="BQ9" s="7351"/>
      <c r="BR9" s="1017"/>
      <c r="BS9" s="2946"/>
      <c r="BU9" s="1192"/>
      <c r="BV9" s="1192" t="str">
        <f>IF(T9="","",T9)</f>
        <v/>
      </c>
      <c r="BW9" s="1192"/>
      <c r="BX9" s="1192"/>
      <c r="BY9" s="1847">
        <v>0</v>
      </c>
    </row>
    <row customHeight="1" ht="15" hidden="1">
      <c r="A10" s="2055"/>
      <c r="B10" s="2055"/>
      <c r="C10" s="2055"/>
      <c r="D10" s="2055"/>
      <c r="E10" s="2951"/>
      <c r="F10" s="2951"/>
      <c r="G10" s="2951"/>
      <c r="H10" s="2951"/>
      <c r="I10" s="2978"/>
      <c r="J10" s="2948"/>
      <c r="K10" s="2055"/>
      <c r="L10" s="2056"/>
      <c r="M10" s="1229"/>
      <c r="N10" s="2058"/>
      <c r="P10" s="2949"/>
      <c r="Q10" s="2949"/>
      <c r="R10" s="1048"/>
      <c r="S10" s="1970"/>
      <c r="T10" s="979" t="s">
        <v>486</v>
      </c>
      <c r="U10" s="1059"/>
      <c r="V10" s="1059"/>
      <c r="W10" s="1059"/>
      <c r="X10" s="1059"/>
      <c r="Y10" s="1059"/>
      <c r="Z10" s="1059"/>
      <c r="AA10" s="1059"/>
      <c r="AB10" s="1059"/>
      <c r="AC10" s="1059"/>
      <c r="AD10" s="1059"/>
      <c r="AE10" s="1059"/>
      <c r="AF10" s="1059"/>
      <c r="AG10" s="1059"/>
      <c r="AH10" s="1059"/>
      <c r="AI10" s="1059"/>
      <c r="AJ10" s="1059"/>
      <c r="AK10" s="1059"/>
      <c r="AL10" s="7354"/>
      <c r="AM10" s="7355"/>
      <c r="AN10" s="7356"/>
      <c r="AO10" s="7357"/>
      <c r="AP10" s="7358"/>
      <c r="AQ10" s="7359"/>
      <c r="AR10" s="7360"/>
      <c r="AS10" s="7361"/>
      <c r="AT10" s="7362"/>
      <c r="AU10" s="7363"/>
      <c r="AV10" s="7364"/>
      <c r="AW10" s="7365"/>
      <c r="AX10" s="7366"/>
      <c r="AY10" s="7367"/>
      <c r="AZ10" s="7368"/>
      <c r="BA10" s="7369"/>
      <c r="BB10" s="7370"/>
      <c r="BC10" s="7371"/>
      <c r="BD10" s="7372"/>
      <c r="BE10" s="7373"/>
      <c r="BF10" s="7374"/>
      <c r="BG10" s="7375"/>
      <c r="BH10" s="7376"/>
      <c r="BI10" s="7377"/>
      <c r="BJ10" s="7378"/>
      <c r="BK10" s="7379"/>
      <c r="BL10" s="7380"/>
      <c r="BM10" s="7381"/>
      <c r="BN10" s="7382"/>
      <c r="BO10" s="7383"/>
      <c r="BP10" s="7384"/>
      <c r="BQ10" s="7385"/>
      <c r="BR10" s="1016"/>
      <c r="BS10" s="2947"/>
      <c r="BU10" s="1192"/>
      <c r="BV10" s="1192" t="str">
        <f>IF(T10="","",T10)</f>
        <v>Добавить вид теплоносителя (параметры теплоносителя)</v>
      </c>
      <c r="BW10" s="1192"/>
      <c r="BX10" s="1192"/>
      <c r="BY10" s="1847">
        <v>0</v>
      </c>
    </row>
    <row customHeight="1" ht="15" hidden="1">
      <c r="A11" s="2055"/>
      <c r="B11" s="2055"/>
      <c r="C11" s="2055"/>
      <c r="D11" s="2055"/>
      <c r="E11" s="2951"/>
      <c r="F11" s="2951"/>
      <c r="G11" s="2951"/>
      <c r="H11" s="2951"/>
      <c r="I11" s="2948"/>
      <c r="J11" s="2055"/>
      <c r="K11" s="2055"/>
      <c r="L11" s="2056"/>
      <c r="M11" s="1229"/>
      <c r="P11" s="2949"/>
      <c r="Q11" s="2023"/>
      <c r="R11" s="1048"/>
      <c r="S11" s="1970"/>
      <c r="T11" s="1057" t="s">
        <v>487</v>
      </c>
      <c r="U11" s="1059"/>
      <c r="V11" s="1059"/>
      <c r="W11" s="1059"/>
      <c r="X11" s="1059"/>
      <c r="Y11" s="1059"/>
      <c r="Z11" s="1059"/>
      <c r="AA11" s="1059"/>
      <c r="AB11" s="1059"/>
      <c r="AC11" s="1058"/>
      <c r="AD11" s="1059"/>
      <c r="AE11" s="1059"/>
      <c r="AF11" s="1059"/>
      <c r="AG11" s="1059"/>
      <c r="AH11" s="1059"/>
      <c r="AI11" s="1059"/>
      <c r="AJ11" s="1059"/>
      <c r="AK11" s="1058"/>
      <c r="AL11" s="7386"/>
      <c r="AM11" s="7387"/>
      <c r="AN11" s="7388"/>
      <c r="AO11" s="7389"/>
      <c r="AP11" s="7390"/>
      <c r="AQ11" s="7391"/>
      <c r="AR11" s="7392"/>
      <c r="AS11" s="7393"/>
      <c r="AT11" s="7394"/>
      <c r="AU11" s="7395"/>
      <c r="AV11" s="7396"/>
      <c r="AW11" s="7397"/>
      <c r="AX11" s="7398"/>
      <c r="AY11" s="7399"/>
      <c r="AZ11" s="7400"/>
      <c r="BA11" s="7401"/>
      <c r="BB11" s="7402"/>
      <c r="BC11" s="7403"/>
      <c r="BD11" s="7404"/>
      <c r="BE11" s="7405"/>
      <c r="BF11" s="7406"/>
      <c r="BG11" s="7407"/>
      <c r="BH11" s="7408"/>
      <c r="BI11" s="7409"/>
      <c r="BJ11" s="7410"/>
      <c r="BK11" s="7411"/>
      <c r="BL11" s="7412"/>
      <c r="BM11" s="7413"/>
      <c r="BN11" s="7414"/>
      <c r="BO11" s="7415"/>
      <c r="BP11" s="7416"/>
      <c r="BQ11" s="7417"/>
      <c r="BR11" s="1059"/>
      <c r="BS11" s="995"/>
      <c r="BU11" s="1192"/>
      <c r="BV11" s="1192" t="str">
        <f>IF(T11="","",T11)</f>
        <v>Добавить группу потребителей</v>
      </c>
      <c r="BW11" s="1192"/>
      <c r="BX11" s="1192"/>
      <c r="BY11" s="1847">
        <v>0</v>
      </c>
    </row>
    <row customHeight="1" ht="14.25" hidden="1">
      <c r="A12" s="2055"/>
      <c r="B12" s="2055"/>
      <c r="C12" s="2055"/>
      <c r="D12" s="2055"/>
      <c r="E12" s="2951"/>
      <c r="F12" s="2951"/>
      <c r="G12" s="2951"/>
      <c r="H12" s="2950"/>
      <c r="I12" s="2055"/>
      <c r="J12" s="2055"/>
      <c r="K12" s="2055"/>
      <c r="L12" s="2056"/>
      <c r="M12" s="2057"/>
      <c r="N12" s="2057"/>
      <c r="O12" s="1229"/>
      <c r="P12" s="1052"/>
      <c r="Q12" s="1067"/>
      <c r="R12" s="1047"/>
      <c r="S12" s="2078"/>
      <c r="T12" s="2079"/>
      <c r="U12" s="2080"/>
      <c r="V12" s="2080"/>
      <c r="W12" s="2080"/>
      <c r="X12" s="2080"/>
      <c r="Y12" s="2080"/>
      <c r="Z12" s="2080"/>
      <c r="AA12" s="2080"/>
      <c r="AB12" s="2080"/>
      <c r="AC12" s="2080"/>
      <c r="AD12" s="2080"/>
      <c r="AE12" s="2080"/>
      <c r="AF12" s="2080"/>
      <c r="AG12" s="2080"/>
      <c r="AH12" s="2080"/>
      <c r="AI12" s="2080"/>
      <c r="AJ12" s="2080"/>
      <c r="AK12" s="2080"/>
      <c r="AL12" s="7421"/>
      <c r="AM12" s="7421"/>
      <c r="AN12" s="7421"/>
      <c r="AO12" s="7421"/>
      <c r="AP12" s="7421"/>
      <c r="AQ12" s="7421"/>
      <c r="AR12" s="7421"/>
      <c r="AS12" s="7421"/>
      <c r="AT12" s="7421"/>
      <c r="AU12" s="7421"/>
      <c r="AV12" s="7421"/>
      <c r="AW12" s="7421"/>
      <c r="AX12" s="7421"/>
      <c r="AY12" s="7421"/>
      <c r="AZ12" s="7421"/>
      <c r="BA12" s="7421"/>
      <c r="BB12" s="7421"/>
      <c r="BC12" s="7421"/>
      <c r="BD12" s="7421"/>
      <c r="BE12" s="7421"/>
      <c r="BF12" s="7421"/>
      <c r="BG12" s="7421"/>
      <c r="BH12" s="7421"/>
      <c r="BI12" s="7421"/>
      <c r="BJ12" s="7421"/>
      <c r="BK12" s="7421"/>
      <c r="BL12" s="7421"/>
      <c r="BM12" s="7421"/>
      <c r="BN12" s="7421"/>
      <c r="BO12" s="7421"/>
      <c r="BP12" s="7421"/>
      <c r="BQ12" s="7421"/>
      <c r="BR12" s="2080"/>
      <c r="BS12" s="2081"/>
      <c r="BU12" s="1192"/>
      <c r="BV12" s="1192" t="str">
        <f>IF(T12="","",T12)</f>
        <v/>
      </c>
      <c r="BW12" s="1192"/>
      <c r="BX12" s="1192"/>
      <c r="BY12" s="1847">
        <v>0</v>
      </c>
    </row>
    <row s="61695" customFormat="1" customHeight="1" ht="0.75" hidden="1">
      <c r="A13" s="2006"/>
      <c r="B13" s="2006"/>
      <c r="C13" s="2006"/>
      <c r="D13" s="2006"/>
      <c r="E13" s="2951"/>
      <c r="F13" s="2951"/>
      <c r="G13" s="2950"/>
      <c r="H13" s="2006"/>
      <c r="I13" s="2006"/>
      <c r="J13" s="2006"/>
      <c r="K13" s="2006"/>
      <c r="L13" s="2031"/>
      <c r="M13" s="2007"/>
      <c r="N13" s="2007"/>
      <c r="P13" s="2008"/>
      <c r="Q13" s="2009"/>
      <c r="R13" s="2008"/>
      <c r="S13" s="2010"/>
      <c r="T13" s="2011" t="s">
        <v>171</v>
      </c>
      <c r="U13" s="2012"/>
      <c r="V13" s="2012"/>
      <c r="W13" s="2012"/>
      <c r="X13" s="2012"/>
      <c r="Y13" s="2012"/>
      <c r="Z13" s="2012"/>
      <c r="AA13" s="2012"/>
      <c r="AB13" s="2012"/>
      <c r="AC13" s="2012"/>
      <c r="AD13" s="2012"/>
      <c r="AE13" s="2012"/>
      <c r="AF13" s="2012"/>
      <c r="AG13" s="2012"/>
      <c r="AH13" s="2012"/>
      <c r="AI13" s="2012"/>
      <c r="AJ13" s="2012"/>
      <c r="AK13" s="2012"/>
      <c r="AL13" s="7423"/>
      <c r="AM13" s="7423"/>
      <c r="AN13" s="7423"/>
      <c r="AO13" s="7423"/>
      <c r="AP13" s="7423"/>
      <c r="AQ13" s="7423"/>
      <c r="AR13" s="7423"/>
      <c r="AS13" s="7423"/>
      <c r="AT13" s="7423"/>
      <c r="AU13" s="7423"/>
      <c r="AV13" s="7423"/>
      <c r="AW13" s="7423"/>
      <c r="AX13" s="7423"/>
      <c r="AY13" s="7423"/>
      <c r="AZ13" s="7423"/>
      <c r="BA13" s="7423"/>
      <c r="BB13" s="7423"/>
      <c r="BC13" s="7423"/>
      <c r="BD13" s="7423"/>
      <c r="BE13" s="7423"/>
      <c r="BF13" s="7423"/>
      <c r="BG13" s="7423"/>
      <c r="BH13" s="7423"/>
      <c r="BI13" s="7423"/>
      <c r="BJ13" s="7423"/>
      <c r="BK13" s="7423"/>
      <c r="BL13" s="7423"/>
      <c r="BM13" s="7423"/>
      <c r="BN13" s="7423"/>
      <c r="BO13" s="7423"/>
      <c r="BP13" s="7423"/>
      <c r="BQ13" s="7423"/>
      <c r="BR13" s="2012"/>
      <c r="BS13" s="2012"/>
      <c r="BU13" s="1481"/>
      <c r="BV13" s="1481" t="str">
        <f>IF(T13="","",T13)</f>
        <v>Добавить источник для дифференциации</v>
      </c>
      <c r="BW13" s="1481"/>
      <c r="BX13" s="1481"/>
      <c r="BY13" s="1210">
        <v>0</v>
      </c>
    </row>
    <row s="61695" customFormat="1" customHeight="1" ht="0.75" hidden="1">
      <c r="A14" s="2006"/>
      <c r="B14" s="2006"/>
      <c r="C14" s="2006"/>
      <c r="D14" s="2006"/>
      <c r="E14" s="2951"/>
      <c r="F14" s="2950"/>
      <c r="G14" s="2006"/>
      <c r="H14" s="2006"/>
      <c r="I14" s="2006"/>
      <c r="J14" s="2006"/>
      <c r="K14" s="2006"/>
      <c r="L14" s="2031"/>
      <c r="M14" s="2013"/>
      <c r="N14" s="2013"/>
      <c r="P14" s="2008"/>
      <c r="Q14" s="2009"/>
      <c r="R14" s="2008"/>
      <c r="S14" s="2014"/>
      <c r="T14" s="2015" t="s">
        <v>172</v>
      </c>
      <c r="U14" s="2016"/>
      <c r="V14" s="2016"/>
      <c r="W14" s="2016"/>
      <c r="X14" s="2016"/>
      <c r="Y14" s="2016"/>
      <c r="Z14" s="2016"/>
      <c r="AA14" s="2016"/>
      <c r="AB14" s="2016"/>
      <c r="AC14" s="2016"/>
      <c r="AD14" s="2016"/>
      <c r="AE14" s="2016"/>
      <c r="AF14" s="2016"/>
      <c r="AG14" s="2016"/>
      <c r="AH14" s="2016"/>
      <c r="AI14" s="2016"/>
      <c r="AJ14" s="2016"/>
      <c r="AK14" s="2016"/>
      <c r="AL14" s="7424"/>
      <c r="AM14" s="7424"/>
      <c r="AN14" s="7424"/>
      <c r="AO14" s="7424"/>
      <c r="AP14" s="7424"/>
      <c r="AQ14" s="7424"/>
      <c r="AR14" s="7424"/>
      <c r="AS14" s="7424"/>
      <c r="AT14" s="7424"/>
      <c r="AU14" s="7424"/>
      <c r="AV14" s="7424"/>
      <c r="AW14" s="7424"/>
      <c r="AX14" s="7424"/>
      <c r="AY14" s="7424"/>
      <c r="AZ14" s="7424"/>
      <c r="BA14" s="7424"/>
      <c r="BB14" s="7424"/>
      <c r="BC14" s="7424"/>
      <c r="BD14" s="7424"/>
      <c r="BE14" s="7424"/>
      <c r="BF14" s="7424"/>
      <c r="BG14" s="7424"/>
      <c r="BH14" s="7424"/>
      <c r="BI14" s="7424"/>
      <c r="BJ14" s="7424"/>
      <c r="BK14" s="7424"/>
      <c r="BL14" s="7424"/>
      <c r="BM14" s="7424"/>
      <c r="BN14" s="7424"/>
      <c r="BO14" s="7424"/>
      <c r="BP14" s="7424"/>
      <c r="BQ14" s="7424"/>
      <c r="BR14" s="2016"/>
      <c r="BS14" s="2016"/>
      <c r="BU14" s="1481"/>
      <c r="BV14" s="1481" t="str">
        <f>IF(T14="","",T14)</f>
        <v>Добавить централизованную систему для дифференциации</v>
      </c>
      <c r="BW14" s="1481"/>
      <c r="BX14" s="1481"/>
      <c r="BY14" s="1210">
        <v>0</v>
      </c>
    </row>
    <row s="61695" customFormat="1" customHeight="1" ht="0.75" hidden="1">
      <c r="A15" s="2006"/>
      <c r="B15" s="2006"/>
      <c r="C15" s="2006"/>
      <c r="D15" s="2006"/>
      <c r="E15" s="2950"/>
      <c r="F15" s="2006"/>
      <c r="G15" s="2006"/>
      <c r="H15" s="2006"/>
      <c r="I15" s="2006"/>
      <c r="J15" s="2006"/>
      <c r="K15" s="2006"/>
      <c r="L15" s="2031"/>
      <c r="M15" s="2013"/>
      <c r="N15" s="2013"/>
      <c r="P15" s="2008"/>
      <c r="Q15" s="2009"/>
      <c r="R15" s="2008"/>
      <c r="S15" s="2014"/>
      <c r="T15" s="2017" t="s">
        <v>173</v>
      </c>
      <c r="U15" s="2016"/>
      <c r="V15" s="2016"/>
      <c r="W15" s="2016"/>
      <c r="X15" s="2016"/>
      <c r="Y15" s="2016"/>
      <c r="Z15" s="2016"/>
      <c r="AA15" s="2016"/>
      <c r="AB15" s="2016"/>
      <c r="AC15" s="2016"/>
      <c r="AD15" s="2016"/>
      <c r="AE15" s="2016"/>
      <c r="AF15" s="2016"/>
      <c r="AG15" s="2016"/>
      <c r="AH15" s="2016"/>
      <c r="AI15" s="2016"/>
      <c r="AJ15" s="2016"/>
      <c r="AK15" s="2016"/>
      <c r="AL15" s="7424"/>
      <c r="AM15" s="7424"/>
      <c r="AN15" s="7424"/>
      <c r="AO15" s="7424"/>
      <c r="AP15" s="7424"/>
      <c r="AQ15" s="7424"/>
      <c r="AR15" s="7424"/>
      <c r="AS15" s="7424"/>
      <c r="AT15" s="7424"/>
      <c r="AU15" s="7424"/>
      <c r="AV15" s="7424"/>
      <c r="AW15" s="7424"/>
      <c r="AX15" s="7424"/>
      <c r="AY15" s="7424"/>
      <c r="AZ15" s="7424"/>
      <c r="BA15" s="7424"/>
      <c r="BB15" s="7424"/>
      <c r="BC15" s="7424"/>
      <c r="BD15" s="7424"/>
      <c r="BE15" s="7424"/>
      <c r="BF15" s="7424"/>
      <c r="BG15" s="7424"/>
      <c r="BH15" s="7424"/>
      <c r="BI15" s="7424"/>
      <c r="BJ15" s="7424"/>
      <c r="BK15" s="7424"/>
      <c r="BL15" s="7424"/>
      <c r="BM15" s="7424"/>
      <c r="BN15" s="7424"/>
      <c r="BO15" s="7424"/>
      <c r="BP15" s="7424"/>
      <c r="BQ15" s="7424"/>
      <c r="BR15" s="2016"/>
      <c r="BS15" s="2016"/>
      <c r="BU15" s="1481"/>
      <c r="BV15" s="1481" t="str">
        <f>IF(T15="","",T15)</f>
        <v>Добавить территорию для дифференциации</v>
      </c>
      <c r="BW15" s="1481"/>
      <c r="BX15" s="1481"/>
      <c r="BY15" s="1210">
        <v>0</v>
      </c>
    </row>
    <row customHeight="1" ht="14.25" hidden="1">
      <c r="AC16" s="1019"/>
      <c r="AK16" s="1019"/>
      <c r="AL16" s="7330"/>
      <c r="AM16" s="7330"/>
      <c r="AN16" s="7330"/>
      <c r="AO16" s="7330"/>
      <c r="AP16" s="7330"/>
      <c r="AQ16" s="7330"/>
      <c r="AR16" s="7330"/>
      <c r="AS16" s="7330"/>
      <c r="AT16" s="7330"/>
      <c r="AU16" s="7330"/>
      <c r="AV16" s="7330"/>
      <c r="AW16" s="7330"/>
      <c r="AX16" s="7330"/>
      <c r="AY16" s="7330"/>
      <c r="AZ16" s="7330"/>
      <c r="BA16" s="7330"/>
      <c r="BB16" s="7330"/>
      <c r="BC16" s="7330"/>
      <c r="BD16" s="7330"/>
      <c r="BE16" s="7330"/>
      <c r="BF16" s="7330"/>
      <c r="BG16" s="7330"/>
      <c r="BH16" s="7330"/>
      <c r="BI16" s="7330"/>
      <c r="BJ16" s="7330"/>
      <c r="BK16" s="7330"/>
      <c r="BL16" s="7330"/>
      <c r="BM16" s="7330"/>
      <c r="BN16" s="7330"/>
      <c r="BO16" s="7330"/>
      <c r="BP16" s="7330"/>
      <c r="BQ16" s="7330"/>
      <c r="BY16" s="1847">
        <v>0</v>
      </c>
    </row>
    <row customHeight="1" ht="14.25" hidden="1">
      <c r="AD17" s="2052"/>
      <c r="AE17" s="2052"/>
      <c r="AF17" s="2052"/>
      <c r="AG17" s="2053"/>
      <c r="AH17" s="2959"/>
      <c r="AI17" s="2960" t="s">
        <v>67</v>
      </c>
      <c r="AJ17" s="2959"/>
      <c r="AK17" s="2960" t="s">
        <v>67</v>
      </c>
      <c r="AL17" s="7330"/>
      <c r="AM17" s="7330"/>
      <c r="AN17" s="7330"/>
      <c r="AO17" s="7330"/>
      <c r="AP17" s="7330"/>
      <c r="AQ17" s="7330"/>
      <c r="AR17" s="7330"/>
      <c r="AS17" s="7330"/>
      <c r="AT17" s="7330"/>
      <c r="AU17" s="7330"/>
      <c r="AV17" s="7330"/>
      <c r="AW17" s="7330"/>
      <c r="AX17" s="7330"/>
      <c r="AY17" s="7330"/>
      <c r="AZ17" s="7330"/>
      <c r="BA17" s="7330"/>
      <c r="BB17" s="7330"/>
      <c r="BC17" s="7330"/>
      <c r="BD17" s="7330"/>
      <c r="BE17" s="7330"/>
      <c r="BF17" s="7330"/>
      <c r="BG17" s="7330"/>
      <c r="BH17" s="7330"/>
      <c r="BI17" s="7330"/>
      <c r="BJ17" s="7330"/>
      <c r="BK17" s="7330"/>
      <c r="BL17" s="7330"/>
      <c r="BM17" s="7330"/>
      <c r="BN17" s="7330"/>
      <c r="BO17" s="7330"/>
      <c r="BP17" s="7330"/>
      <c r="BQ17" s="7330"/>
      <c r="BY17" s="1847">
        <v>0</v>
      </c>
    </row>
    <row customHeight="1" ht="14.25" hidden="1">
      <c r="AD18" s="2052"/>
      <c r="AE18" s="2052"/>
      <c r="AF18" s="2052"/>
      <c r="AG18" s="1020" t="str">
        <f>AH17&amp;"-"&amp;AJ17</f>
        <v>-</v>
      </c>
      <c r="AH18" s="2960"/>
      <c r="AI18" s="2960"/>
      <c r="AJ18" s="2960"/>
      <c r="AK18" s="2960"/>
      <c r="AL18" s="7330"/>
      <c r="AM18" s="7330"/>
      <c r="AN18" s="7330"/>
      <c r="AO18" s="7330"/>
      <c r="AP18" s="7330"/>
      <c r="AQ18" s="7330"/>
      <c r="AR18" s="7330"/>
      <c r="AS18" s="7330"/>
      <c r="AT18" s="7330"/>
      <c r="AU18" s="7330"/>
      <c r="AV18" s="7330"/>
      <c r="AW18" s="7330"/>
      <c r="AX18" s="7330"/>
      <c r="AY18" s="7330"/>
      <c r="AZ18" s="7330"/>
      <c r="BA18" s="7330"/>
      <c r="BB18" s="7330"/>
      <c r="BC18" s="7330"/>
      <c r="BD18" s="7330"/>
      <c r="BE18" s="7330"/>
      <c r="BF18" s="7330"/>
      <c r="BG18" s="7330"/>
      <c r="BH18" s="7330"/>
      <c r="BI18" s="7330"/>
      <c r="BJ18" s="7330"/>
      <c r="BK18" s="7330"/>
      <c r="BL18" s="7330"/>
      <c r="BM18" s="7330"/>
      <c r="BN18" s="7330"/>
      <c r="BO18" s="7330"/>
      <c r="BP18" s="7330"/>
      <c r="BQ18" s="7330"/>
      <c r="BY18" s="1847">
        <v>0</v>
      </c>
    </row>
    <row customHeight="1" ht="14.25" hidden="1">
      <c r="AK19" s="1019"/>
      <c r="AL19" s="7330"/>
      <c r="AM19" s="7330"/>
      <c r="AN19" s="7330"/>
      <c r="AO19" s="7330"/>
      <c r="AP19" s="7330"/>
      <c r="AQ19" s="7330"/>
      <c r="AR19" s="7330"/>
      <c r="AS19" s="7330"/>
      <c r="AT19" s="7330"/>
      <c r="AU19" s="7330"/>
      <c r="AV19" s="7330"/>
      <c r="AW19" s="7330"/>
      <c r="AX19" s="7330"/>
      <c r="AY19" s="7330"/>
      <c r="AZ19" s="7330"/>
      <c r="BA19" s="7330"/>
      <c r="BB19" s="7330"/>
      <c r="BC19" s="7330"/>
      <c r="BD19" s="7330"/>
      <c r="BE19" s="7330"/>
      <c r="BF19" s="7330"/>
      <c r="BG19" s="7330"/>
      <c r="BH19" s="7330"/>
      <c r="BI19" s="7330"/>
      <c r="BJ19" s="7330"/>
      <c r="BK19" s="7330"/>
      <c r="BL19" s="7330"/>
      <c r="BM19" s="7330"/>
      <c r="BN19" s="7330"/>
      <c r="BO19" s="7330"/>
      <c r="BP19" s="7330"/>
      <c r="BQ19" s="7330"/>
      <c r="BY19" s="1847">
        <v>0</v>
      </c>
    </row>
    <row s="62148" customFormat="1" customHeight="1" ht="22.5" hidden="1">
      <c r="L20" s="2021"/>
      <c r="M20" s="2054"/>
      <c r="N20" s="2054"/>
      <c r="O20" s="2059" t="s">
        <v>489</v>
      </c>
      <c r="P20" s="2054"/>
      <c r="Q20" s="2063"/>
      <c r="R20" s="2063"/>
      <c r="S20" s="1421"/>
      <c r="Z20" s="2059"/>
      <c r="AB20" s="2059"/>
      <c r="AC20" s="2058"/>
      <c r="AH20" s="2059"/>
      <c r="AJ20" s="2059"/>
      <c r="AK20" s="2058"/>
      <c r="AL20" s="7425"/>
      <c r="AM20" s="7425"/>
      <c r="AN20" s="7425"/>
      <c r="AO20" s="7425"/>
      <c r="AP20" s="7426"/>
      <c r="AQ20" s="7425"/>
      <c r="AR20" s="7426"/>
      <c r="AS20" s="7425"/>
      <c r="AT20" s="7425"/>
      <c r="AU20" s="7425"/>
      <c r="AV20" s="7425"/>
      <c r="AW20" s="7425"/>
      <c r="AX20" s="7426"/>
      <c r="AY20" s="7425"/>
      <c r="AZ20" s="7426"/>
      <c r="BA20" s="7425"/>
      <c r="BB20" s="7425"/>
      <c r="BC20" s="7425"/>
      <c r="BD20" s="7425"/>
      <c r="BE20" s="7425"/>
      <c r="BF20" s="7426"/>
      <c r="BG20" s="7425"/>
      <c r="BH20" s="7426"/>
      <c r="BI20" s="7425"/>
      <c r="BJ20" s="7425"/>
      <c r="BK20" s="7425"/>
      <c r="BL20" s="7425"/>
      <c r="BM20" s="7425"/>
      <c r="BN20" s="7426"/>
      <c r="BO20" s="7425"/>
      <c r="BP20" s="7426"/>
      <c r="BQ20" s="7425"/>
      <c r="BT20" s="1203"/>
      <c r="BU20" s="1203"/>
      <c r="BV20" s="1203"/>
      <c r="BW20" s="1203"/>
      <c r="BX20" s="1203"/>
      <c r="BY20" s="1852">
        <v>0</v>
      </c>
    </row>
    <row s="62148" customFormat="1" customHeight="1" ht="14.25" hidden="1">
      <c r="L21" s="2021"/>
      <c r="M21" s="2054"/>
      <c r="N21" s="2054"/>
      <c r="O21" s="2054"/>
      <c r="P21" s="2054"/>
      <c r="Q21" s="2063"/>
      <c r="R21" s="2063"/>
      <c r="S21" s="1421"/>
      <c r="AC21" s="2058"/>
      <c r="AK21" s="2058"/>
      <c r="AL21" s="7425"/>
      <c r="AM21" s="7425"/>
      <c r="AN21" s="7425"/>
      <c r="AO21" s="7425"/>
      <c r="AP21" s="7425"/>
      <c r="AQ21" s="7425"/>
      <c r="AR21" s="7425"/>
      <c r="AS21" s="7425"/>
      <c r="AT21" s="7425"/>
      <c r="AU21" s="7425"/>
      <c r="AV21" s="7425"/>
      <c r="AW21" s="7425"/>
      <c r="AX21" s="7425"/>
      <c r="AY21" s="7425"/>
      <c r="AZ21" s="7425"/>
      <c r="BA21" s="7425"/>
      <c r="BB21" s="7425"/>
      <c r="BC21" s="7425"/>
      <c r="BD21" s="7425"/>
      <c r="BE21" s="7425"/>
      <c r="BF21" s="7425"/>
      <c r="BG21" s="7425"/>
      <c r="BH21" s="7425"/>
      <c r="BI21" s="7425"/>
      <c r="BJ21" s="7425"/>
      <c r="BK21" s="7425"/>
      <c r="BL21" s="7425"/>
      <c r="BM21" s="7425"/>
      <c r="BN21" s="7425"/>
      <c r="BO21" s="7425"/>
      <c r="BP21" s="7425"/>
      <c r="BQ21" s="7425"/>
      <c r="BT21" s="1203"/>
      <c r="BU21" s="1203"/>
      <c r="BV21" s="1203"/>
      <c r="BW21" s="1203"/>
      <c r="BX21" s="1203"/>
      <c r="BY21" s="1852">
        <v>0</v>
      </c>
    </row>
    <row s="62148" customFormat="1" customHeight="1" ht="14.25" hidden="1">
      <c r="L22" s="2021"/>
      <c r="M22" s="2054"/>
      <c r="N22" s="2054"/>
      <c r="O22" s="2056" t="s">
        <v>490</v>
      </c>
      <c r="P22" s="2054"/>
      <c r="Q22" s="2063"/>
      <c r="R22" s="2063"/>
      <c r="S22" s="1421"/>
      <c r="T22" s="1852" t="s">
        <v>491</v>
      </c>
      <c r="AA22" s="878" t="s">
        <v>492</v>
      </c>
      <c r="AC22" s="878" t="s">
        <v>493</v>
      </c>
      <c r="AD22" s="1852" t="s">
        <v>491</v>
      </c>
      <c r="AI22" s="878" t="s">
        <v>494</v>
      </c>
      <c r="AK22" s="878" t="s">
        <v>493</v>
      </c>
      <c r="AL22" s="7425"/>
      <c r="AM22" s="7425"/>
      <c r="AN22" s="7425"/>
      <c r="AO22" s="7425"/>
      <c r="AP22" s="7425"/>
      <c r="AQ22" s="7427" t="s">
        <v>492</v>
      </c>
      <c r="AR22" s="7425"/>
      <c r="AS22" s="7427" t="s">
        <v>493</v>
      </c>
      <c r="AT22" s="7425"/>
      <c r="AU22" s="7425"/>
      <c r="AV22" s="7425"/>
      <c r="AW22" s="7425"/>
      <c r="AX22" s="7425"/>
      <c r="AY22" s="7427" t="s">
        <v>492</v>
      </c>
      <c r="AZ22" s="7425"/>
      <c r="BA22" s="7427" t="s">
        <v>493</v>
      </c>
      <c r="BB22" s="7425"/>
      <c r="BC22" s="7425"/>
      <c r="BD22" s="7425"/>
      <c r="BE22" s="7425"/>
      <c r="BF22" s="7425"/>
      <c r="BG22" s="7427" t="s">
        <v>492</v>
      </c>
      <c r="BH22" s="7425"/>
      <c r="BI22" s="7427" t="s">
        <v>493</v>
      </c>
      <c r="BJ22" s="7425"/>
      <c r="BK22" s="7425"/>
      <c r="BL22" s="7425"/>
      <c r="BM22" s="7425"/>
      <c r="BN22" s="7425"/>
      <c r="BO22" s="7427" t="s">
        <v>492</v>
      </c>
      <c r="BP22" s="7425"/>
      <c r="BQ22" s="7427" t="s">
        <v>493</v>
      </c>
      <c r="BT22" s="1203"/>
      <c r="BU22" s="1203"/>
      <c r="BV22" s="1203"/>
      <c r="BW22" s="1203"/>
      <c r="BX22" s="1203"/>
      <c r="BY22" s="1852">
        <v>0</v>
      </c>
    </row>
    <row customHeight="1" ht="14.25" hidden="1">
      <c r="O23" s="2056"/>
      <c r="AL23" s="7330"/>
      <c r="AM23" s="7330"/>
      <c r="AN23" s="7330"/>
      <c r="AO23" s="7330"/>
      <c r="AP23" s="7330"/>
      <c r="AQ23" s="7330"/>
      <c r="AR23" s="7330"/>
      <c r="AS23" s="7330"/>
      <c r="AT23" s="7330"/>
      <c r="AU23" s="7330"/>
      <c r="AV23" s="7330"/>
      <c r="AW23" s="7330"/>
      <c r="AX23" s="7330"/>
      <c r="AY23" s="7330"/>
      <c r="AZ23" s="7330"/>
      <c r="BA23" s="7330"/>
      <c r="BB23" s="7330"/>
      <c r="BC23" s="7330"/>
      <c r="BD23" s="7330"/>
      <c r="BE23" s="7330"/>
      <c r="BF23" s="7330"/>
      <c r="BG23" s="7330"/>
      <c r="BH23" s="7330"/>
      <c r="BI23" s="7330"/>
      <c r="BJ23" s="7330"/>
      <c r="BK23" s="7330"/>
      <c r="BL23" s="7330"/>
      <c r="BM23" s="7330"/>
      <c r="BN23" s="7330"/>
      <c r="BO23" s="7330"/>
      <c r="BP23" s="7330"/>
      <c r="BQ23" s="7330"/>
      <c r="BY23" s="1847">
        <v>0</v>
      </c>
    </row>
    <row customHeight="1" ht="14.25" hidden="1">
      <c r="O24" s="2056"/>
      <c r="AL24" s="7330"/>
      <c r="AM24" s="7330"/>
      <c r="AN24" s="7330"/>
      <c r="AO24" s="7330"/>
      <c r="AP24" s="7330"/>
      <c r="AQ24" s="7330"/>
      <c r="AR24" s="7330"/>
      <c r="AS24" s="7330"/>
      <c r="AT24" s="7330"/>
      <c r="AU24" s="7330"/>
      <c r="AV24" s="7330"/>
      <c r="AW24" s="7330"/>
      <c r="AX24" s="7330"/>
      <c r="AY24" s="7330"/>
      <c r="AZ24" s="7330"/>
      <c r="BA24" s="7330"/>
      <c r="BB24" s="7330"/>
      <c r="BC24" s="7330"/>
      <c r="BD24" s="7330"/>
      <c r="BE24" s="7330"/>
      <c r="BF24" s="7330"/>
      <c r="BG24" s="7330"/>
      <c r="BH24" s="7330"/>
      <c r="BI24" s="7330"/>
      <c r="BJ24" s="7330"/>
      <c r="BK24" s="7330"/>
      <c r="BL24" s="7330"/>
      <c r="BM24" s="7330"/>
      <c r="BN24" s="7330"/>
      <c r="BO24" s="7330"/>
      <c r="BP24" s="7330"/>
      <c r="BQ24" s="7330"/>
      <c r="BY24" s="1847">
        <v>0</v>
      </c>
    </row>
    <row customHeight="1" ht="14.699999999999998">
      <c r="Q25" s="1068"/>
      <c r="R25" s="1068"/>
      <c r="S25" s="1967"/>
      <c r="T25" s="1055"/>
      <c r="U25" s="1055"/>
      <c r="V25" s="1201"/>
      <c r="W25" s="1201"/>
      <c r="X25" s="1201"/>
      <c r="Y25" s="1201"/>
      <c r="Z25" s="1201"/>
      <c r="AA25" s="1201"/>
      <c r="AB25" s="1201"/>
      <c r="AC25" s="1201"/>
      <c r="AD25" s="1201"/>
      <c r="AE25" s="1201"/>
      <c r="AF25" s="1201"/>
      <c r="AG25" s="1201"/>
      <c r="AH25" s="1201"/>
      <c r="AI25" s="1201"/>
      <c r="AJ25" s="1201"/>
      <c r="AK25" s="1201"/>
      <c r="AL25" s="7330"/>
      <c r="AM25" s="7330"/>
      <c r="AN25" s="7330"/>
      <c r="AO25" s="7330"/>
      <c r="AP25" s="7330"/>
      <c r="AQ25" s="7330"/>
      <c r="AR25" s="7330"/>
      <c r="AS25" s="7330"/>
      <c r="AT25" s="7330"/>
      <c r="AU25" s="7330"/>
      <c r="AV25" s="7330"/>
      <c r="AW25" s="7330"/>
      <c r="AX25" s="7330"/>
      <c r="AY25" s="7330"/>
      <c r="AZ25" s="7330"/>
      <c r="BA25" s="7330"/>
      <c r="BB25" s="7330"/>
      <c r="BC25" s="7330"/>
      <c r="BD25" s="7330"/>
      <c r="BE25" s="7330"/>
      <c r="BF25" s="7330"/>
      <c r="BG25" s="7330"/>
      <c r="BH25" s="7330"/>
      <c r="BI25" s="7330"/>
      <c r="BJ25" s="7330"/>
      <c r="BK25" s="7330"/>
      <c r="BL25" s="7330"/>
      <c r="BM25" s="7330"/>
      <c r="BN25" s="7330"/>
      <c r="BO25" s="7330"/>
      <c r="BP25" s="7330"/>
      <c r="BQ25" s="7330"/>
      <c r="BY25" s="1847">
        <v>14</v>
      </c>
    </row>
    <row customHeight="1" ht="63">
      <c r="Q26" s="1068"/>
      <c r="R26" s="1068"/>
      <c r="S26" s="294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40"/>
      <c r="U26" s="2940"/>
      <c r="V26" s="2940"/>
      <c r="W26" s="2940"/>
      <c r="X26" s="2940"/>
      <c r="Y26" s="2940"/>
      <c r="Z26" s="2940"/>
      <c r="AA26" s="2940"/>
      <c r="AB26" s="2940"/>
      <c r="AC26" s="2940"/>
      <c r="AD26" s="2940"/>
      <c r="AE26" s="2940"/>
      <c r="AF26" s="2940"/>
      <c r="AG26" s="2940"/>
      <c r="AH26" s="2940"/>
      <c r="AI26" s="2940"/>
      <c r="AJ26" s="2940"/>
      <c r="AK26" s="1935"/>
      <c r="AL26" s="7428"/>
      <c r="AM26" s="7428"/>
      <c r="AN26" s="7428"/>
      <c r="AO26" s="7428"/>
      <c r="AP26" s="7428"/>
      <c r="AQ26" s="7428"/>
      <c r="AR26" s="7428"/>
      <c r="AS26" s="7428"/>
      <c r="AT26" s="7428"/>
      <c r="AU26" s="7428"/>
      <c r="AV26" s="7428"/>
      <c r="AW26" s="7428"/>
      <c r="AX26" s="7428"/>
      <c r="AY26" s="7428"/>
      <c r="AZ26" s="7428"/>
      <c r="BA26" s="7428"/>
      <c r="BB26" s="7428"/>
      <c r="BC26" s="7428"/>
      <c r="BD26" s="7428"/>
      <c r="BE26" s="7428"/>
      <c r="BF26" s="7428"/>
      <c r="BG26" s="7428"/>
      <c r="BH26" s="7428"/>
      <c r="BI26" s="7428"/>
      <c r="BJ26" s="7428"/>
      <c r="BK26" s="7428"/>
      <c r="BL26" s="7428"/>
      <c r="BM26" s="7428"/>
      <c r="BN26" s="7428"/>
      <c r="BO26" s="7428"/>
      <c r="BP26" s="7428"/>
      <c r="BQ26" s="7428"/>
      <c r="BY26" s="1847">
        <v>60</v>
      </c>
    </row>
    <row customHeight="1" ht="14.699999999999998">
      <c r="Q27" s="1068"/>
      <c r="R27" s="1068"/>
      <c r="S27" s="2941" t="str">
        <f>IF(org=0,"Не определено",org)</f>
        <v>АО "ДГК"</v>
      </c>
      <c r="T27" s="2941"/>
      <c r="U27" s="2941"/>
      <c r="V27" s="2941"/>
      <c r="W27" s="2941"/>
      <c r="X27" s="2941"/>
      <c r="Y27" s="2941"/>
      <c r="Z27" s="2941"/>
      <c r="AA27" s="2941"/>
      <c r="AB27" s="2941"/>
      <c r="AC27" s="2941"/>
      <c r="AD27" s="2941"/>
      <c r="AE27" s="2941"/>
      <c r="AF27" s="2941"/>
      <c r="AG27" s="2941"/>
      <c r="AH27" s="2941"/>
      <c r="AI27" s="2941"/>
      <c r="AJ27" s="2941"/>
      <c r="AK27" s="1935"/>
      <c r="AL27" s="7429"/>
      <c r="AM27" s="7429"/>
      <c r="AN27" s="7429"/>
      <c r="AO27" s="7429"/>
      <c r="AP27" s="7429"/>
      <c r="AQ27" s="7429"/>
      <c r="AR27" s="7429"/>
      <c r="AS27" s="7429"/>
      <c r="AT27" s="7429"/>
      <c r="AU27" s="7429"/>
      <c r="AV27" s="7429"/>
      <c r="AW27" s="7429"/>
      <c r="AX27" s="7429"/>
      <c r="AY27" s="7429"/>
      <c r="AZ27" s="7429"/>
      <c r="BA27" s="7429"/>
      <c r="BB27" s="7429"/>
      <c r="BC27" s="7429"/>
      <c r="BD27" s="7429"/>
      <c r="BE27" s="7429"/>
      <c r="BF27" s="7429"/>
      <c r="BG27" s="7429"/>
      <c r="BH27" s="7429"/>
      <c r="BI27" s="7429"/>
      <c r="BJ27" s="7429"/>
      <c r="BK27" s="7429"/>
      <c r="BL27" s="7429"/>
      <c r="BM27" s="7429"/>
      <c r="BN27" s="7429"/>
      <c r="BO27" s="7429"/>
      <c r="BP27" s="7429"/>
      <c r="BQ27" s="7429"/>
      <c r="BY27" s="1847">
        <v>14</v>
      </c>
    </row>
    <row customHeight="1" ht="14.25" hidden="1">
      <c r="Q28" s="1068"/>
      <c r="R28" s="1068"/>
      <c r="S28" s="1967"/>
      <c r="T28" s="1055"/>
      <c r="U28" s="1055"/>
      <c r="V28" s="1014"/>
      <c r="W28" s="1014"/>
      <c r="X28" s="1014"/>
      <c r="Y28" s="1014"/>
      <c r="Z28" s="1014"/>
      <c r="AA28" s="1014"/>
      <c r="AB28" s="1014"/>
      <c r="AC28" s="1014"/>
      <c r="AD28" s="1014"/>
      <c r="AE28" s="1014"/>
      <c r="AF28" s="1014"/>
      <c r="AG28" s="1014"/>
      <c r="AH28" s="1014"/>
      <c r="AI28" s="1014"/>
      <c r="AJ28" s="1014"/>
      <c r="AK28" s="1014"/>
      <c r="AL28" s="7430"/>
      <c r="AM28" s="7430"/>
      <c r="AN28" s="7430"/>
      <c r="AO28" s="7430"/>
      <c r="AP28" s="7430"/>
      <c r="AQ28" s="7430"/>
      <c r="AR28" s="7430"/>
      <c r="AS28" s="7430"/>
      <c r="AT28" s="7430"/>
      <c r="AU28" s="7430"/>
      <c r="AV28" s="7430"/>
      <c r="AW28" s="7430"/>
      <c r="AX28" s="7430"/>
      <c r="AY28" s="7430"/>
      <c r="AZ28" s="7430"/>
      <c r="BA28" s="7430"/>
      <c r="BB28" s="7430"/>
      <c r="BC28" s="7430"/>
      <c r="BD28" s="7430"/>
      <c r="BE28" s="7430"/>
      <c r="BF28" s="7430"/>
      <c r="BG28" s="7430"/>
      <c r="BH28" s="7430"/>
      <c r="BI28" s="7430"/>
      <c r="BJ28" s="7430"/>
      <c r="BK28" s="7430"/>
      <c r="BL28" s="7430"/>
      <c r="BM28" s="7430"/>
      <c r="BN28" s="7430"/>
      <c r="BO28" s="7430"/>
      <c r="BP28" s="7430"/>
      <c r="BQ28" s="7430"/>
      <c r="BR28" s="1201"/>
      <c r="BY28" s="1847">
        <v>0</v>
      </c>
    </row>
    <row s="63055" customFormat="1" customHeight="1" ht="25.5" hidden="1">
      <c r="A29" s="2060"/>
      <c r="B29" s="2060"/>
      <c r="C29" s="2060"/>
      <c r="D29" s="2060"/>
      <c r="E29" s="2060"/>
      <c r="F29" s="2060"/>
      <c r="G29" s="2060"/>
      <c r="H29" s="2060"/>
      <c r="I29" s="2060"/>
      <c r="J29" s="2060"/>
      <c r="K29" s="2060"/>
      <c r="L29" s="2061"/>
      <c r="M29" s="2060"/>
      <c r="N29" s="2060"/>
      <c r="O29" s="2060"/>
      <c r="S29" s="2942" t="s">
        <v>42</v>
      </c>
      <c r="T29" s="2942"/>
      <c r="U29" s="2064"/>
      <c r="V29" s="2943" t="str">
        <f>IF(TITLE_NAME_OR_PR_CHANGE="",IF(TITLE_NAME_OR_PR="","",TITLE_NAME_OR_PR),TITLE_NAME_OR_PR_CHANGE)</f>
        <v/>
      </c>
      <c r="W29" s="2943"/>
      <c r="X29" s="2943"/>
      <c r="Y29" s="2943"/>
      <c r="Z29" s="2943"/>
      <c r="AA29" s="2943"/>
      <c r="AB29" s="2943"/>
      <c r="AC29" s="1018"/>
      <c r="AD29" s="2943" t="str">
        <f>IF(TITLE_NAME_OR_PR_CHANGE="",IF(TITLE_NAME_OR_PR="","",TITLE_NAME_OR_PR),TITLE_NAME_OR_PR_CHANGE)</f>
        <v/>
      </c>
      <c r="AE29" s="2943"/>
      <c r="AF29" s="2943"/>
      <c r="AG29" s="2943"/>
      <c r="AH29" s="2943"/>
      <c r="AI29" s="2943"/>
      <c r="AJ29" s="2943"/>
      <c r="AK29" s="1018"/>
      <c r="AL29" s="7431" t="str">
        <f>IF(TITLE_NAME_OR_PR_CHANGE="",IF(TITLE_NAME_OR_PR="","",TITLE_NAME_OR_PR),TITLE_NAME_OR_PR_CHANGE)</f>
        <v/>
      </c>
      <c r="AM29" s="7431"/>
      <c r="AN29" s="7431"/>
      <c r="AO29" s="7431"/>
      <c r="AP29" s="7431"/>
      <c r="AQ29" s="7431"/>
      <c r="AR29" s="7431"/>
      <c r="AS29" s="7330"/>
      <c r="AT29" s="7431" t="str">
        <f>IF(TITLE_NAME_OR_PR_CHANGE="",IF(TITLE_NAME_OR_PR="","",TITLE_NAME_OR_PR),TITLE_NAME_OR_PR_CHANGE)</f>
        <v/>
      </c>
      <c r="AU29" s="7431"/>
      <c r="AV29" s="7431"/>
      <c r="AW29" s="7431"/>
      <c r="AX29" s="7431"/>
      <c r="AY29" s="7431"/>
      <c r="AZ29" s="7431"/>
      <c r="BA29" s="7330"/>
      <c r="BB29" s="7431" t="str">
        <f>IF(TITLE_NAME_OR_PR_CHANGE="",IF(TITLE_NAME_OR_PR="","",TITLE_NAME_OR_PR),TITLE_NAME_OR_PR_CHANGE)</f>
        <v/>
      </c>
      <c r="BC29" s="7431"/>
      <c r="BD29" s="7431"/>
      <c r="BE29" s="7431"/>
      <c r="BF29" s="7431"/>
      <c r="BG29" s="7431"/>
      <c r="BH29" s="7431"/>
      <c r="BI29" s="7330"/>
      <c r="BJ29" s="7431" t="str">
        <f>IF(TITLE_NAME_OR_PR_CHANGE="",IF(TITLE_NAME_OR_PR="","",TITLE_NAME_OR_PR),TITLE_NAME_OR_PR_CHANGE)</f>
        <v/>
      </c>
      <c r="BK29" s="7431"/>
      <c r="BL29" s="7431"/>
      <c r="BM29" s="7431"/>
      <c r="BN29" s="7431"/>
      <c r="BO29" s="7431"/>
      <c r="BP29" s="7431"/>
      <c r="BQ29" s="7330"/>
      <c r="BR29" s="1018"/>
      <c r="BS29" s="972"/>
      <c r="BT29" s="1060"/>
      <c r="BU29" s="1060"/>
      <c r="BV29" s="1060"/>
      <c r="BW29" s="1060"/>
      <c r="BX29" s="1060"/>
      <c r="BY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495</v>
      </c>
      <c r="T30" s="2942"/>
      <c r="U30" s="2064"/>
      <c r="V30" s="2956" t="str">
        <f>IF(TITLE_DATE_PR_CHANGE="",IF(TITLE_DATE_PR="","",TITLE_DATE_PR),TITLE_DATE_PR_CHANGE)</f>
        <v>45981</v>
      </c>
      <c r="W30" s="2956"/>
      <c r="X30" s="2956"/>
      <c r="Y30" s="2956"/>
      <c r="Z30" s="2956"/>
      <c r="AA30" s="2956"/>
      <c r="AB30" s="2956"/>
      <c r="AC30" s="1018"/>
      <c r="AD30" s="2956" t="str">
        <f>IF(TITLE_DATE_PR_CHANGE="",IF(TITLE_DATE_PR="","",TITLE_DATE_PR),TITLE_DATE_PR_CHANGE)</f>
        <v>45981</v>
      </c>
      <c r="AE30" s="2956"/>
      <c r="AF30" s="2956"/>
      <c r="AG30" s="2956"/>
      <c r="AH30" s="2956"/>
      <c r="AI30" s="2956"/>
      <c r="AJ30" s="2956"/>
      <c r="AK30" s="1018"/>
      <c r="AL30" s="7432" t="str">
        <f>IF(TITLE_DATE_PR_CHANGE="",IF(TITLE_DATE_PR="","",TITLE_DATE_PR),TITLE_DATE_PR_CHANGE)</f>
        <v>45981</v>
      </c>
      <c r="AM30" s="7432"/>
      <c r="AN30" s="7432"/>
      <c r="AO30" s="7432"/>
      <c r="AP30" s="7432"/>
      <c r="AQ30" s="7432"/>
      <c r="AR30" s="7432"/>
      <c r="AS30" s="7330"/>
      <c r="AT30" s="7432" t="str">
        <f>IF(TITLE_DATE_PR_CHANGE="",IF(TITLE_DATE_PR="","",TITLE_DATE_PR),TITLE_DATE_PR_CHANGE)</f>
        <v>45981</v>
      </c>
      <c r="AU30" s="7432"/>
      <c r="AV30" s="7432"/>
      <c r="AW30" s="7432"/>
      <c r="AX30" s="7432"/>
      <c r="AY30" s="7432"/>
      <c r="AZ30" s="7432"/>
      <c r="BA30" s="7330"/>
      <c r="BB30" s="7432" t="str">
        <f>IF(TITLE_DATE_PR_CHANGE="",IF(TITLE_DATE_PR="","",TITLE_DATE_PR),TITLE_DATE_PR_CHANGE)</f>
        <v>45981</v>
      </c>
      <c r="BC30" s="7432"/>
      <c r="BD30" s="7432"/>
      <c r="BE30" s="7432"/>
      <c r="BF30" s="7432"/>
      <c r="BG30" s="7432"/>
      <c r="BH30" s="7432"/>
      <c r="BI30" s="7330"/>
      <c r="BJ30" s="7432" t="str">
        <f>IF(TITLE_DATE_PR_CHANGE="",IF(TITLE_DATE_PR="","",TITLE_DATE_PR),TITLE_DATE_PR_CHANGE)</f>
        <v>45981</v>
      </c>
      <c r="BK30" s="7432"/>
      <c r="BL30" s="7432"/>
      <c r="BM30" s="7432"/>
      <c r="BN30" s="7432"/>
      <c r="BO30" s="7432"/>
      <c r="BP30" s="7432"/>
      <c r="BQ30" s="7330"/>
      <c r="BR30" s="1018"/>
      <c r="BS30" s="972"/>
      <c r="BT30" s="1060"/>
      <c r="BU30" s="1060"/>
      <c r="BV30" s="1060"/>
      <c r="BW30" s="1060"/>
      <c r="BX30" s="1060"/>
      <c r="BY30" s="1110">
        <v>0</v>
      </c>
    </row>
    <row s="63055" customFormat="1" customHeight="1" ht="18.75" hidden="1">
      <c r="A31" s="2060"/>
      <c r="B31" s="2060"/>
      <c r="C31" s="2060"/>
      <c r="D31" s="2060"/>
      <c r="E31" s="2060"/>
      <c r="F31" s="2060"/>
      <c r="G31" s="2060"/>
      <c r="H31" s="2060"/>
      <c r="I31" s="2060"/>
      <c r="J31" s="2060"/>
      <c r="K31" s="2060"/>
      <c r="L31" s="2061"/>
      <c r="M31" s="2060"/>
      <c r="N31" s="2060"/>
      <c r="O31" s="2060"/>
      <c r="S31" s="2942" t="s">
        <v>496</v>
      </c>
      <c r="T31" s="2942"/>
      <c r="U31" s="2064"/>
      <c r="V31" s="2943" t="str">
        <f>IF(TITLE_NUMBER_PR_CHANGE="",IF(TITLE_NUMBER_PR="","",TITLE_NUMBER_PR),TITLE_NUMBER_PR_CHANGE)</f>
        <v>Исх-260/1781</v>
      </c>
      <c r="W31" s="2943"/>
      <c r="X31" s="2943"/>
      <c r="Y31" s="2943"/>
      <c r="Z31" s="2943"/>
      <c r="AA31" s="2943"/>
      <c r="AB31" s="2943"/>
      <c r="AC31" s="1018"/>
      <c r="AD31" s="2943" t="str">
        <f>IF(TITLE_NUMBER_PR_CHANGE="",IF(TITLE_NUMBER_PR="","",TITLE_NUMBER_PR),TITLE_NUMBER_PR_CHANGE)</f>
        <v>Исх-260/1781</v>
      </c>
      <c r="AE31" s="2943"/>
      <c r="AF31" s="2943"/>
      <c r="AG31" s="2943"/>
      <c r="AH31" s="2943"/>
      <c r="AI31" s="2943"/>
      <c r="AJ31" s="2943"/>
      <c r="AK31" s="1018"/>
      <c r="AL31" s="7431" t="str">
        <f>IF(TITLE_NUMBER_PR_CHANGE="",IF(TITLE_NUMBER_PR="","",TITLE_NUMBER_PR),TITLE_NUMBER_PR_CHANGE)</f>
        <v>Исх-260/1781</v>
      </c>
      <c r="AM31" s="7431"/>
      <c r="AN31" s="7431"/>
      <c r="AO31" s="7431"/>
      <c r="AP31" s="7431"/>
      <c r="AQ31" s="7431"/>
      <c r="AR31" s="7431"/>
      <c r="AS31" s="7330"/>
      <c r="AT31" s="7431" t="str">
        <f>IF(TITLE_NUMBER_PR_CHANGE="",IF(TITLE_NUMBER_PR="","",TITLE_NUMBER_PR),TITLE_NUMBER_PR_CHANGE)</f>
        <v>Исх-260/1781</v>
      </c>
      <c r="AU31" s="7431"/>
      <c r="AV31" s="7431"/>
      <c r="AW31" s="7431"/>
      <c r="AX31" s="7431"/>
      <c r="AY31" s="7431"/>
      <c r="AZ31" s="7431"/>
      <c r="BA31" s="7330"/>
      <c r="BB31" s="7431" t="str">
        <f>IF(TITLE_NUMBER_PR_CHANGE="",IF(TITLE_NUMBER_PR="","",TITLE_NUMBER_PR),TITLE_NUMBER_PR_CHANGE)</f>
        <v>Исх-260/1781</v>
      </c>
      <c r="BC31" s="7431"/>
      <c r="BD31" s="7431"/>
      <c r="BE31" s="7431"/>
      <c r="BF31" s="7431"/>
      <c r="BG31" s="7431"/>
      <c r="BH31" s="7431"/>
      <c r="BI31" s="7330"/>
      <c r="BJ31" s="7431" t="str">
        <f>IF(TITLE_NUMBER_PR_CHANGE="",IF(TITLE_NUMBER_PR="","",TITLE_NUMBER_PR),TITLE_NUMBER_PR_CHANGE)</f>
        <v>Исх-260/1781</v>
      </c>
      <c r="BK31" s="7431"/>
      <c r="BL31" s="7431"/>
      <c r="BM31" s="7431"/>
      <c r="BN31" s="7431"/>
      <c r="BO31" s="7431"/>
      <c r="BP31" s="7431"/>
      <c r="BQ31" s="7330"/>
      <c r="BR31" s="1018"/>
      <c r="BS31" s="972"/>
      <c r="BT31" s="1060"/>
      <c r="BU31" s="1060"/>
      <c r="BV31" s="1060"/>
      <c r="BW31" s="1060"/>
      <c r="BX31" s="1060"/>
      <c r="BY31" s="1110">
        <v>0</v>
      </c>
    </row>
    <row s="63055" customFormat="1" customHeight="1" ht="18.75" hidden="1">
      <c r="A32" s="2060"/>
      <c r="B32" s="2060"/>
      <c r="C32" s="2060"/>
      <c r="D32" s="2060"/>
      <c r="E32" s="2060"/>
      <c r="F32" s="2060"/>
      <c r="G32" s="2060"/>
      <c r="H32" s="2060"/>
      <c r="I32" s="2060"/>
      <c r="J32" s="2060"/>
      <c r="K32" s="2060"/>
      <c r="L32" s="2061"/>
      <c r="M32" s="2060"/>
      <c r="N32" s="2060"/>
      <c r="O32" s="2060"/>
      <c r="S32" s="2942" t="s">
        <v>43</v>
      </c>
      <c r="T32" s="2942"/>
      <c r="U32" s="2064"/>
      <c r="V32" s="2943" t="str">
        <f>IF(TITLE_IST_PUB_CHANGE="",IF(TITLE_IST_PUB="","",TITLE_IST_PUB),TITLE_IST_PUB_CHANGE)</f>
        <v/>
      </c>
      <c r="W32" s="2943"/>
      <c r="X32" s="2943"/>
      <c r="Y32" s="2943"/>
      <c r="Z32" s="2943"/>
      <c r="AA32" s="2943"/>
      <c r="AB32" s="2943"/>
      <c r="AC32" s="1018"/>
      <c r="AD32" s="2943" t="str">
        <f>IF(TITLE_IST_PUB_CHANGE="",IF(TITLE_IST_PUB="","",TITLE_IST_PUB),TITLE_IST_PUB_CHANGE)</f>
        <v/>
      </c>
      <c r="AE32" s="2943"/>
      <c r="AF32" s="2943"/>
      <c r="AG32" s="2943"/>
      <c r="AH32" s="2943"/>
      <c r="AI32" s="2943"/>
      <c r="AJ32" s="2943"/>
      <c r="AK32" s="1018"/>
      <c r="AL32" s="7431" t="str">
        <f>IF(TITLE_IST_PUB_CHANGE="",IF(TITLE_IST_PUB="","",TITLE_IST_PUB),TITLE_IST_PUB_CHANGE)</f>
        <v/>
      </c>
      <c r="AM32" s="7431"/>
      <c r="AN32" s="7431"/>
      <c r="AO32" s="7431"/>
      <c r="AP32" s="7431"/>
      <c r="AQ32" s="7431"/>
      <c r="AR32" s="7431"/>
      <c r="AS32" s="7330"/>
      <c r="AT32" s="7431" t="str">
        <f>IF(TITLE_IST_PUB_CHANGE="",IF(TITLE_IST_PUB="","",TITLE_IST_PUB),TITLE_IST_PUB_CHANGE)</f>
        <v/>
      </c>
      <c r="AU32" s="7431"/>
      <c r="AV32" s="7431"/>
      <c r="AW32" s="7431"/>
      <c r="AX32" s="7431"/>
      <c r="AY32" s="7431"/>
      <c r="AZ32" s="7431"/>
      <c r="BA32" s="7330"/>
      <c r="BB32" s="7431" t="str">
        <f>IF(TITLE_IST_PUB_CHANGE="",IF(TITLE_IST_PUB="","",TITLE_IST_PUB),TITLE_IST_PUB_CHANGE)</f>
        <v/>
      </c>
      <c r="BC32" s="7431"/>
      <c r="BD32" s="7431"/>
      <c r="BE32" s="7431"/>
      <c r="BF32" s="7431"/>
      <c r="BG32" s="7431"/>
      <c r="BH32" s="7431"/>
      <c r="BI32" s="7330"/>
      <c r="BJ32" s="7431" t="str">
        <f>IF(TITLE_IST_PUB_CHANGE="",IF(TITLE_IST_PUB="","",TITLE_IST_PUB),TITLE_IST_PUB_CHANGE)</f>
        <v/>
      </c>
      <c r="BK32" s="7431"/>
      <c r="BL32" s="7431"/>
      <c r="BM32" s="7431"/>
      <c r="BN32" s="7431"/>
      <c r="BO32" s="7431"/>
      <c r="BP32" s="7431"/>
      <c r="BQ32" s="7330"/>
      <c r="BR32" s="1018"/>
      <c r="BS32" s="972"/>
      <c r="BT32" s="1060"/>
      <c r="BU32" s="1060"/>
      <c r="BV32" s="1060"/>
      <c r="BW32" s="1060"/>
      <c r="BX32" s="1060"/>
      <c r="BY32" s="1110">
        <v>0</v>
      </c>
    </row>
    <row customHeight="1" ht="14.25">
      <c r="Q33" s="1068"/>
      <c r="R33" s="1068"/>
      <c r="S33" s="1967"/>
      <c r="T33" s="1055"/>
      <c r="U33" s="1055"/>
      <c r="V33" s="1014"/>
      <c r="W33" s="1014"/>
      <c r="X33" s="1014"/>
      <c r="Y33" s="1014"/>
      <c r="Z33" s="1014"/>
      <c r="AA33" s="1014"/>
      <c r="AB33" s="1014"/>
      <c r="AC33" s="1014"/>
      <c r="AD33" s="1014"/>
      <c r="AE33" s="1014"/>
      <c r="AF33" s="1014"/>
      <c r="AG33" s="1014"/>
      <c r="AH33" s="1014"/>
      <c r="AI33" s="1014"/>
      <c r="AJ33" s="1014"/>
      <c r="AK33" s="1014"/>
      <c r="AL33" s="7430"/>
      <c r="AM33" s="7430"/>
      <c r="AN33" s="7430"/>
      <c r="AO33" s="7430"/>
      <c r="AP33" s="7430"/>
      <c r="AQ33" s="7430"/>
      <c r="AR33" s="7430"/>
      <c r="AS33" s="7430"/>
      <c r="AT33" s="7430"/>
      <c r="AU33" s="7430"/>
      <c r="AV33" s="7430"/>
      <c r="AW33" s="7430"/>
      <c r="AX33" s="7430"/>
      <c r="AY33" s="7430"/>
      <c r="AZ33" s="7430"/>
      <c r="BA33" s="7430"/>
      <c r="BB33" s="7430"/>
      <c r="BC33" s="7430"/>
      <c r="BD33" s="7430"/>
      <c r="BE33" s="7430"/>
      <c r="BF33" s="7430"/>
      <c r="BG33" s="7430"/>
      <c r="BH33" s="7430"/>
      <c r="BI33" s="7430"/>
      <c r="BJ33" s="7430"/>
      <c r="BK33" s="7430"/>
      <c r="BL33" s="7430"/>
      <c r="BM33" s="7430"/>
      <c r="BN33" s="7430"/>
      <c r="BO33" s="7430"/>
      <c r="BP33" s="7430"/>
      <c r="BQ33" s="7430"/>
      <c r="BR33" s="1201"/>
      <c r="BY33" s="1847">
        <v>0</v>
      </c>
    </row>
    <row s="63055" customFormat="1" customHeight="1" ht="18.75">
      <c r="A34" s="2060"/>
      <c r="B34" s="2060"/>
      <c r="C34" s="2060"/>
      <c r="D34" s="2060"/>
      <c r="E34" s="2060"/>
      <c r="F34" s="2060"/>
      <c r="G34" s="2060"/>
      <c r="H34" s="2060"/>
      <c r="I34" s="2060"/>
      <c r="J34" s="2060"/>
      <c r="K34" s="2060"/>
      <c r="L34" s="2061"/>
      <c r="M34" s="2060"/>
      <c r="N34" s="2060"/>
      <c r="O34" s="2060"/>
      <c r="S34" s="2942" t="s">
        <v>497</v>
      </c>
      <c r="T34" s="2942"/>
      <c r="U34" s="2064"/>
      <c r="V34" s="2956" t="str">
        <f>IF(TITLE_DATE_PR_CHANGE="",IF(TITLE_DATE_PR="","",TITLE_DATE_PR),TITLE_DATE_PR_CHANGE)</f>
        <v>45981</v>
      </c>
      <c r="W34" s="2956"/>
      <c r="X34" s="2956"/>
      <c r="Y34" s="2956"/>
      <c r="Z34" s="2956"/>
      <c r="AA34" s="2956"/>
      <c r="AB34" s="2956"/>
      <c r="AC34" s="1018"/>
      <c r="AD34" s="2956" t="str">
        <f>IF(TITLE_DATE_PR_CHANGE="",IF(TITLE_DATE_PR="","",TITLE_DATE_PR),TITLE_DATE_PR_CHANGE)</f>
        <v>45981</v>
      </c>
      <c r="AE34" s="2956"/>
      <c r="AF34" s="2956"/>
      <c r="AG34" s="2956"/>
      <c r="AH34" s="2956"/>
      <c r="AI34" s="2956"/>
      <c r="AJ34" s="2956"/>
      <c r="AK34" s="1018"/>
      <c r="AL34" s="7432" t="str">
        <f>IF(TITLE_DATE_PR_CHANGE="",IF(TITLE_DATE_PR="","",TITLE_DATE_PR),TITLE_DATE_PR_CHANGE)</f>
        <v>45981</v>
      </c>
      <c r="AM34" s="7432"/>
      <c r="AN34" s="7432"/>
      <c r="AO34" s="7432"/>
      <c r="AP34" s="7432"/>
      <c r="AQ34" s="7432"/>
      <c r="AR34" s="7432"/>
      <c r="AS34" s="7330"/>
      <c r="AT34" s="7432" t="str">
        <f>IF(TITLE_DATE_PR_CHANGE="",IF(TITLE_DATE_PR="","",TITLE_DATE_PR),TITLE_DATE_PR_CHANGE)</f>
        <v>45981</v>
      </c>
      <c r="AU34" s="7432"/>
      <c r="AV34" s="7432"/>
      <c r="AW34" s="7432"/>
      <c r="AX34" s="7432"/>
      <c r="AY34" s="7432"/>
      <c r="AZ34" s="7432"/>
      <c r="BA34" s="7330"/>
      <c r="BB34" s="7432" t="str">
        <f>IF(TITLE_DATE_PR_CHANGE="",IF(TITLE_DATE_PR="","",TITLE_DATE_PR),TITLE_DATE_PR_CHANGE)</f>
        <v>45981</v>
      </c>
      <c r="BC34" s="7432"/>
      <c r="BD34" s="7432"/>
      <c r="BE34" s="7432"/>
      <c r="BF34" s="7432"/>
      <c r="BG34" s="7432"/>
      <c r="BH34" s="7432"/>
      <c r="BI34" s="7330"/>
      <c r="BJ34" s="7432" t="str">
        <f>IF(TITLE_DATE_PR_CHANGE="",IF(TITLE_DATE_PR="","",TITLE_DATE_PR),TITLE_DATE_PR_CHANGE)</f>
        <v>45981</v>
      </c>
      <c r="BK34" s="7432"/>
      <c r="BL34" s="7432"/>
      <c r="BM34" s="7432"/>
      <c r="BN34" s="7432"/>
      <c r="BO34" s="7432"/>
      <c r="BP34" s="7432"/>
      <c r="BQ34" s="7330"/>
      <c r="BR34" s="1018"/>
      <c r="BS34" s="972"/>
      <c r="BT34" s="1060"/>
      <c r="BU34" s="1060"/>
      <c r="BV34" s="1060"/>
      <c r="BW34" s="1060"/>
      <c r="BX34" s="1060"/>
      <c r="BY34" s="1110">
        <v>0</v>
      </c>
    </row>
    <row s="63055" customFormat="1" customHeight="1" ht="18.75">
      <c r="A35" s="2060"/>
      <c r="B35" s="2060"/>
      <c r="C35" s="2060"/>
      <c r="D35" s="2060"/>
      <c r="E35" s="2060"/>
      <c r="F35" s="2060"/>
      <c r="G35" s="2060"/>
      <c r="H35" s="2060"/>
      <c r="I35" s="2060"/>
      <c r="J35" s="2060"/>
      <c r="K35" s="2060"/>
      <c r="L35" s="2061"/>
      <c r="M35" s="2060"/>
      <c r="N35" s="2060"/>
      <c r="O35" s="2060"/>
      <c r="S35" s="2942" t="s">
        <v>498</v>
      </c>
      <c r="T35" s="2942"/>
      <c r="U35" s="2064"/>
      <c r="V35" s="2943" t="str">
        <f>IF(TITLE_NUMBER_PR_CHANGE="",IF(TITLE_NUMBER_PR="","",TITLE_NUMBER_PR),TITLE_NUMBER_PR_CHANGE)</f>
        <v>Исх-260/1781</v>
      </c>
      <c r="W35" s="2943"/>
      <c r="X35" s="2943"/>
      <c r="Y35" s="2943"/>
      <c r="Z35" s="2943"/>
      <c r="AA35" s="2943"/>
      <c r="AB35" s="2943"/>
      <c r="AC35" s="1018"/>
      <c r="AD35" s="2943" t="str">
        <f>IF(TITLE_NUMBER_PR_CHANGE="",IF(TITLE_NUMBER_PR="","",TITLE_NUMBER_PR),TITLE_NUMBER_PR_CHANGE)</f>
        <v>Исх-260/1781</v>
      </c>
      <c r="AE35" s="2943"/>
      <c r="AF35" s="2943"/>
      <c r="AG35" s="2943"/>
      <c r="AH35" s="2943"/>
      <c r="AI35" s="2943"/>
      <c r="AJ35" s="2943"/>
      <c r="AK35" s="1018"/>
      <c r="AL35" s="7431" t="str">
        <f>IF(TITLE_NUMBER_PR_CHANGE="",IF(TITLE_NUMBER_PR="","",TITLE_NUMBER_PR),TITLE_NUMBER_PR_CHANGE)</f>
        <v>Исх-260/1781</v>
      </c>
      <c r="AM35" s="7431"/>
      <c r="AN35" s="7431"/>
      <c r="AO35" s="7431"/>
      <c r="AP35" s="7431"/>
      <c r="AQ35" s="7431"/>
      <c r="AR35" s="7431"/>
      <c r="AS35" s="7330"/>
      <c r="AT35" s="7431" t="str">
        <f>IF(TITLE_NUMBER_PR_CHANGE="",IF(TITLE_NUMBER_PR="","",TITLE_NUMBER_PR),TITLE_NUMBER_PR_CHANGE)</f>
        <v>Исх-260/1781</v>
      </c>
      <c r="AU35" s="7431"/>
      <c r="AV35" s="7431"/>
      <c r="AW35" s="7431"/>
      <c r="AX35" s="7431"/>
      <c r="AY35" s="7431"/>
      <c r="AZ35" s="7431"/>
      <c r="BA35" s="7330"/>
      <c r="BB35" s="7431" t="str">
        <f>IF(TITLE_NUMBER_PR_CHANGE="",IF(TITLE_NUMBER_PR="","",TITLE_NUMBER_PR),TITLE_NUMBER_PR_CHANGE)</f>
        <v>Исх-260/1781</v>
      </c>
      <c r="BC35" s="7431"/>
      <c r="BD35" s="7431"/>
      <c r="BE35" s="7431"/>
      <c r="BF35" s="7431"/>
      <c r="BG35" s="7431"/>
      <c r="BH35" s="7431"/>
      <c r="BI35" s="7330"/>
      <c r="BJ35" s="7431" t="str">
        <f>IF(TITLE_NUMBER_PR_CHANGE="",IF(TITLE_NUMBER_PR="","",TITLE_NUMBER_PR),TITLE_NUMBER_PR_CHANGE)</f>
        <v>Исх-260/1781</v>
      </c>
      <c r="BK35" s="7431"/>
      <c r="BL35" s="7431"/>
      <c r="BM35" s="7431"/>
      <c r="BN35" s="7431"/>
      <c r="BO35" s="7431"/>
      <c r="BP35" s="7431"/>
      <c r="BQ35" s="7330"/>
      <c r="BR35" s="1018"/>
      <c r="BS35" s="972"/>
      <c r="BT35" s="1060"/>
      <c r="BU35" s="1060"/>
      <c r="BV35" s="1060"/>
      <c r="BW35" s="1060"/>
      <c r="BX35" s="1060"/>
      <c r="BY35" s="1110">
        <v>0</v>
      </c>
    </row>
    <row s="63055" customFormat="1" customHeight="1" ht="0">
      <c r="A36" s="2060"/>
      <c r="B36" s="2060"/>
      <c r="C36" s="2060"/>
      <c r="D36" s="2060"/>
      <c r="E36" s="2060"/>
      <c r="F36" s="2060"/>
      <c r="G36" s="2060"/>
      <c r="H36" s="2060"/>
      <c r="I36" s="2060"/>
      <c r="J36" s="2060"/>
      <c r="K36" s="2060"/>
      <c r="L36" s="2061"/>
      <c r="M36" s="2060"/>
      <c r="N36" s="2060"/>
      <c r="O36" s="2060"/>
      <c r="S36" s="1015"/>
      <c r="T36" s="1015"/>
      <c r="U36" s="2032"/>
      <c r="V36" s="1018"/>
      <c r="W36" s="1018"/>
      <c r="X36" s="1018"/>
      <c r="Y36" s="1018"/>
      <c r="Z36" s="1018"/>
      <c r="AA36" s="1018"/>
      <c r="AB36" s="1018"/>
      <c r="AC36" s="970" t="s">
        <v>499</v>
      </c>
      <c r="AD36" s="1018"/>
      <c r="AE36" s="1018"/>
      <c r="AF36" s="1018"/>
      <c r="AG36" s="1018"/>
      <c r="AH36" s="1018"/>
      <c r="AI36" s="1018"/>
      <c r="AJ36" s="1018"/>
      <c r="AK36" s="970" t="s">
        <v>499</v>
      </c>
      <c r="AL36" s="7330"/>
      <c r="AM36" s="7330"/>
      <c r="AN36" s="7330"/>
      <c r="AO36" s="7330"/>
      <c r="AP36" s="7330"/>
      <c r="AQ36" s="7330"/>
      <c r="AR36" s="7330"/>
      <c r="AS36" s="7433" t="s">
        <v>499</v>
      </c>
      <c r="AT36" s="7330"/>
      <c r="AU36" s="7330"/>
      <c r="AV36" s="7330"/>
      <c r="AW36" s="7330"/>
      <c r="AX36" s="7330"/>
      <c r="AY36" s="7330"/>
      <c r="AZ36" s="7330"/>
      <c r="BA36" s="7433" t="s">
        <v>499</v>
      </c>
      <c r="BB36" s="7330"/>
      <c r="BC36" s="7330"/>
      <c r="BD36" s="7330"/>
      <c r="BE36" s="7330"/>
      <c r="BF36" s="7330"/>
      <c r="BG36" s="7330"/>
      <c r="BH36" s="7330"/>
      <c r="BI36" s="7433" t="s">
        <v>499</v>
      </c>
      <c r="BJ36" s="7330"/>
      <c r="BK36" s="7330"/>
      <c r="BL36" s="7330"/>
      <c r="BM36" s="7330"/>
      <c r="BN36" s="7330"/>
      <c r="BO36" s="7330"/>
      <c r="BP36" s="7330"/>
      <c r="BQ36" s="7433" t="s">
        <v>499</v>
      </c>
      <c r="BT36" s="1060"/>
      <c r="BU36" s="1060"/>
      <c r="BV36" s="1060"/>
      <c r="BW36" s="1060"/>
      <c r="BX36" s="1060"/>
      <c r="BY36" s="1110">
        <v>0</v>
      </c>
    </row>
    <row customHeight="1" ht="14.699999999999998">
      <c r="Q37" s="1068"/>
      <c r="R37" s="1068"/>
      <c r="S37" s="1967"/>
      <c r="T37" s="1055"/>
      <c r="U37" s="1936"/>
      <c r="V37" s="2944"/>
      <c r="W37" s="2944"/>
      <c r="X37" s="2944"/>
      <c r="Y37" s="2944"/>
      <c r="Z37" s="2944"/>
      <c r="AA37" s="2944"/>
      <c r="AB37" s="2944"/>
      <c r="AC37" s="2944"/>
      <c r="AD37" s="2944"/>
      <c r="AE37" s="2944"/>
      <c r="AF37" s="2944"/>
      <c r="AG37" s="2944"/>
      <c r="AH37" s="2944"/>
      <c r="AI37" s="2944"/>
      <c r="AJ37" s="2944"/>
      <c r="AK37" s="2944"/>
      <c r="AL37" s="7434" t="s">
        <v>104</v>
      </c>
      <c r="AM37" s="7434"/>
      <c r="AN37" s="7434"/>
      <c r="AO37" s="7434"/>
      <c r="AP37" s="7434"/>
      <c r="AQ37" s="7434"/>
      <c r="AR37" s="7434"/>
      <c r="AS37" s="7434"/>
      <c r="AT37" s="7434" t="s">
        <v>104</v>
      </c>
      <c r="AU37" s="7434"/>
      <c r="AV37" s="7434"/>
      <c r="AW37" s="7434"/>
      <c r="AX37" s="7434"/>
      <c r="AY37" s="7434"/>
      <c r="AZ37" s="7434"/>
      <c r="BA37" s="7434"/>
      <c r="BB37" s="7434" t="s">
        <v>104</v>
      </c>
      <c r="BC37" s="7434"/>
      <c r="BD37" s="7434"/>
      <c r="BE37" s="7434"/>
      <c r="BF37" s="7434"/>
      <c r="BG37" s="7434"/>
      <c r="BH37" s="7434"/>
      <c r="BI37" s="7434"/>
      <c r="BJ37" s="7434" t="s">
        <v>104</v>
      </c>
      <c r="BK37" s="7434"/>
      <c r="BL37" s="7434"/>
      <c r="BM37" s="7434"/>
      <c r="BN37" s="7434"/>
      <c r="BO37" s="7434"/>
      <c r="BP37" s="7434"/>
      <c r="BQ37" s="7434"/>
      <c r="BY37" s="1847">
        <v>14</v>
      </c>
    </row>
    <row customHeight="1" ht="15">
      <c r="Q38" s="1068"/>
      <c r="R38" s="1068"/>
      <c r="S38" s="2819" t="s">
        <v>375</v>
      </c>
      <c r="T38" s="2819"/>
      <c r="U38" s="2819"/>
      <c r="V38" s="2819"/>
      <c r="W38" s="2819"/>
      <c r="X38" s="2819"/>
      <c r="Y38" s="2819"/>
      <c r="Z38" s="2819"/>
      <c r="AA38" s="2819"/>
      <c r="AB38" s="2819"/>
      <c r="AC38" s="2819"/>
      <c r="AD38" s="2819"/>
      <c r="AE38" s="2819"/>
      <c r="AF38" s="2819"/>
      <c r="AG38" s="2819"/>
      <c r="AH38" s="2819"/>
      <c r="AI38" s="2819"/>
      <c r="AJ38" s="2819"/>
      <c r="AK38" s="2819"/>
      <c r="AL38" s="7435" t="s">
        <v>375</v>
      </c>
      <c r="AM38" s="7435"/>
      <c r="AN38" s="7435"/>
      <c r="AO38" s="7435"/>
      <c r="AP38" s="7435"/>
      <c r="AQ38" s="7435"/>
      <c r="AR38" s="7435"/>
      <c r="AS38" s="7435"/>
      <c r="AT38" s="7435" t="s">
        <v>375</v>
      </c>
      <c r="AU38" s="7435"/>
      <c r="AV38" s="7435"/>
      <c r="AW38" s="7435"/>
      <c r="AX38" s="7435"/>
      <c r="AY38" s="7435"/>
      <c r="AZ38" s="7435"/>
      <c r="BA38" s="7435"/>
      <c r="BB38" s="7435" t="s">
        <v>375</v>
      </c>
      <c r="BC38" s="7435"/>
      <c r="BD38" s="7435"/>
      <c r="BE38" s="7435"/>
      <c r="BF38" s="7435"/>
      <c r="BG38" s="7435"/>
      <c r="BH38" s="7435"/>
      <c r="BI38" s="7435"/>
      <c r="BJ38" s="7435" t="s">
        <v>375</v>
      </c>
      <c r="BK38" s="7435"/>
      <c r="BL38" s="7435"/>
      <c r="BM38" s="7435"/>
      <c r="BN38" s="7435"/>
      <c r="BO38" s="7435"/>
      <c r="BP38" s="7435"/>
      <c r="BQ38" s="7435"/>
      <c r="BR38" s="2819"/>
      <c r="BS38" s="2819"/>
      <c r="BY38" s="1847"/>
    </row>
    <row customHeight="1" ht="14.699999999999998">
      <c r="Q39" s="1068"/>
      <c r="R39" s="1068"/>
      <c r="S39" s="2965" t="s">
        <v>89</v>
      </c>
      <c r="T39" s="2901" t="s">
        <v>500</v>
      </c>
      <c r="U39" s="993"/>
      <c r="V39" s="2966" t="s">
        <v>501</v>
      </c>
      <c r="W39" s="2967"/>
      <c r="X39" s="2967"/>
      <c r="Y39" s="2967"/>
      <c r="Z39" s="2967"/>
      <c r="AA39" s="2967"/>
      <c r="AB39" s="2968"/>
      <c r="AC39" s="2969" t="s">
        <v>502</v>
      </c>
      <c r="AD39" s="2966" t="s">
        <v>501</v>
      </c>
      <c r="AE39" s="2967"/>
      <c r="AF39" s="2967"/>
      <c r="AG39" s="2967"/>
      <c r="AH39" s="2967"/>
      <c r="AI39" s="2967"/>
      <c r="AJ39" s="2968"/>
      <c r="AK39" s="2969" t="s">
        <v>503</v>
      </c>
      <c r="AL39" s="7436" t="s">
        <v>501</v>
      </c>
      <c r="AM39" s="7437"/>
      <c r="AN39" s="7437"/>
      <c r="AO39" s="7437"/>
      <c r="AP39" s="7437"/>
      <c r="AQ39" s="7437"/>
      <c r="AR39" s="7438"/>
      <c r="AS39" s="7439" t="s">
        <v>502</v>
      </c>
      <c r="AT39" s="7436" t="s">
        <v>501</v>
      </c>
      <c r="AU39" s="7437"/>
      <c r="AV39" s="7437"/>
      <c r="AW39" s="7437"/>
      <c r="AX39" s="7437"/>
      <c r="AY39" s="7437"/>
      <c r="AZ39" s="7438"/>
      <c r="BA39" s="7439" t="s">
        <v>502</v>
      </c>
      <c r="BB39" s="7436" t="s">
        <v>501</v>
      </c>
      <c r="BC39" s="7437"/>
      <c r="BD39" s="7437"/>
      <c r="BE39" s="7437"/>
      <c r="BF39" s="7437"/>
      <c r="BG39" s="7437"/>
      <c r="BH39" s="7438"/>
      <c r="BI39" s="7439" t="s">
        <v>502</v>
      </c>
      <c r="BJ39" s="7436" t="s">
        <v>501</v>
      </c>
      <c r="BK39" s="7437"/>
      <c r="BL39" s="7437"/>
      <c r="BM39" s="7437"/>
      <c r="BN39" s="7437"/>
      <c r="BO39" s="7437"/>
      <c r="BP39" s="7438"/>
      <c r="BQ39" s="7439" t="s">
        <v>502</v>
      </c>
      <c r="BR39" s="2972" t="s">
        <v>504</v>
      </c>
      <c r="BS39" s="2819"/>
      <c r="BY39" s="1847">
        <v>14</v>
      </c>
    </row>
    <row customHeight="1" ht="35.699999999999996">
      <c r="Q40" s="1068"/>
      <c r="R40" s="1068"/>
      <c r="S40" s="2965"/>
      <c r="T40" s="2901"/>
      <c r="U40" s="1723"/>
      <c r="V40" s="2952" t="s">
        <v>505</v>
      </c>
      <c r="W40" s="2975"/>
      <c r="X40" s="2954" t="s">
        <v>507</v>
      </c>
      <c r="Y40" s="2955"/>
      <c r="Z40" s="2954" t="s">
        <v>508</v>
      </c>
      <c r="AA40" s="2961"/>
      <c r="AB40" s="2955"/>
      <c r="AC40" s="2970"/>
      <c r="AD40" s="2952" t="s">
        <v>524</v>
      </c>
      <c r="AE40" s="2975"/>
      <c r="AF40" s="2954" t="s">
        <v>507</v>
      </c>
      <c r="AG40" s="2955"/>
      <c r="AH40" s="2954" t="s">
        <v>508</v>
      </c>
      <c r="AI40" s="2961"/>
      <c r="AJ40" s="2955"/>
      <c r="AK40" s="2970"/>
      <c r="AL40" s="7440" t="s">
        <v>505</v>
      </c>
      <c r="AM40" s="7441"/>
      <c r="AN40" s="7442" t="s">
        <v>507</v>
      </c>
      <c r="AO40" s="7443"/>
      <c r="AP40" s="7442" t="s">
        <v>508</v>
      </c>
      <c r="AQ40" s="7444"/>
      <c r="AR40" s="7443"/>
      <c r="AS40" s="7445"/>
      <c r="AT40" s="7440" t="s">
        <v>505</v>
      </c>
      <c r="AU40" s="7441"/>
      <c r="AV40" s="7442" t="s">
        <v>507</v>
      </c>
      <c r="AW40" s="7443"/>
      <c r="AX40" s="7442" t="s">
        <v>508</v>
      </c>
      <c r="AY40" s="7444"/>
      <c r="AZ40" s="7443"/>
      <c r="BA40" s="7445"/>
      <c r="BB40" s="7440" t="s">
        <v>505</v>
      </c>
      <c r="BC40" s="7441"/>
      <c r="BD40" s="7442" t="s">
        <v>507</v>
      </c>
      <c r="BE40" s="7443"/>
      <c r="BF40" s="7442" t="s">
        <v>508</v>
      </c>
      <c r="BG40" s="7444"/>
      <c r="BH40" s="7443"/>
      <c r="BI40" s="7445"/>
      <c r="BJ40" s="7440" t="s">
        <v>505</v>
      </c>
      <c r="BK40" s="7441"/>
      <c r="BL40" s="7442" t="s">
        <v>507</v>
      </c>
      <c r="BM40" s="7443"/>
      <c r="BN40" s="7442" t="s">
        <v>508</v>
      </c>
      <c r="BO40" s="7444"/>
      <c r="BP40" s="7443"/>
      <c r="BQ40" s="7445"/>
      <c r="BR40" s="2973"/>
      <c r="BS40" s="2819"/>
      <c r="BY40" s="1847">
        <v>34</v>
      </c>
    </row>
    <row customHeight="1" ht="35.699999999999996">
      <c r="A41" s="2062"/>
      <c r="B41" s="2062" t="s">
        <v>143</v>
      </c>
      <c r="C41" s="2062" t="s">
        <v>144</v>
      </c>
      <c r="D41" s="2062" t="s">
        <v>145</v>
      </c>
      <c r="E41" s="2056" t="s">
        <v>509</v>
      </c>
      <c r="F41" s="2056" t="s">
        <v>510</v>
      </c>
      <c r="G41" s="2056" t="s">
        <v>511</v>
      </c>
      <c r="H41" s="2056" t="s">
        <v>512</v>
      </c>
      <c r="I41" s="2056" t="s">
        <v>513</v>
      </c>
      <c r="J41" s="2056" t="s">
        <v>514</v>
      </c>
      <c r="K41" s="2056" t="s">
        <v>515</v>
      </c>
      <c r="L41" s="2056" t="s">
        <v>490</v>
      </c>
      <c r="Q41" s="1068"/>
      <c r="R41" s="1068"/>
      <c r="S41" s="2965"/>
      <c r="T41" s="2901"/>
      <c r="U41" s="994"/>
      <c r="V41" s="2953"/>
      <c r="W41" s="2976"/>
      <c r="X41" s="1914" t="s">
        <v>516</v>
      </c>
      <c r="Y41" s="1914" t="s">
        <v>517</v>
      </c>
      <c r="Z41" s="2030" t="s">
        <v>518</v>
      </c>
      <c r="AA41" s="2962" t="s">
        <v>519</v>
      </c>
      <c r="AB41" s="2963"/>
      <c r="AC41" s="2971"/>
      <c r="AD41" s="2953"/>
      <c r="AE41" s="2976"/>
      <c r="AF41" s="1914" t="s">
        <v>516</v>
      </c>
      <c r="AG41" s="1914" t="s">
        <v>517</v>
      </c>
      <c r="AH41" s="2030" t="s">
        <v>518</v>
      </c>
      <c r="AI41" s="2962" t="s">
        <v>519</v>
      </c>
      <c r="AJ41" s="2963"/>
      <c r="AK41" s="2971"/>
      <c r="AL41" s="7446"/>
      <c r="AM41" s="7447"/>
      <c r="AN41" s="7448" t="s">
        <v>516</v>
      </c>
      <c r="AO41" s="7448" t="s">
        <v>517</v>
      </c>
      <c r="AP41" s="7448" t="s">
        <v>518</v>
      </c>
      <c r="AQ41" s="7449" t="s">
        <v>519</v>
      </c>
      <c r="AR41" s="7450"/>
      <c r="AS41" s="7451"/>
      <c r="AT41" s="7446"/>
      <c r="AU41" s="7447"/>
      <c r="AV41" s="7448" t="s">
        <v>516</v>
      </c>
      <c r="AW41" s="7448" t="s">
        <v>517</v>
      </c>
      <c r="AX41" s="7448" t="s">
        <v>518</v>
      </c>
      <c r="AY41" s="7449" t="s">
        <v>519</v>
      </c>
      <c r="AZ41" s="7450"/>
      <c r="BA41" s="7451"/>
      <c r="BB41" s="7446"/>
      <c r="BC41" s="7447"/>
      <c r="BD41" s="7448" t="s">
        <v>516</v>
      </c>
      <c r="BE41" s="7448" t="s">
        <v>517</v>
      </c>
      <c r="BF41" s="7448" t="s">
        <v>518</v>
      </c>
      <c r="BG41" s="7449" t="s">
        <v>519</v>
      </c>
      <c r="BH41" s="7450"/>
      <c r="BI41" s="7451"/>
      <c r="BJ41" s="7446"/>
      <c r="BK41" s="7447"/>
      <c r="BL41" s="7448" t="s">
        <v>516</v>
      </c>
      <c r="BM41" s="7448" t="s">
        <v>517</v>
      </c>
      <c r="BN41" s="7448" t="s">
        <v>518</v>
      </c>
      <c r="BO41" s="7449" t="s">
        <v>519</v>
      </c>
      <c r="BP41" s="7450"/>
      <c r="BQ41" s="7451"/>
      <c r="BR41" s="2974"/>
      <c r="BS41" s="2819"/>
      <c r="BY41" s="1847">
        <v>34</v>
      </c>
    </row>
    <row s="61193" customFormat="1" customHeight="1" ht="11.25" hidden="1">
      <c r="A42" s="2062"/>
      <c r="B42" s="2062"/>
      <c r="C42" s="2062"/>
      <c r="D42" s="2062"/>
      <c r="E42" s="2062"/>
      <c r="F42" s="2062"/>
      <c r="G42" s="2062"/>
      <c r="H42" s="2062"/>
      <c r="I42" s="2062"/>
      <c r="J42" s="2062"/>
      <c r="K42" s="2062"/>
      <c r="L42" s="2056"/>
      <c r="M42" s="2054"/>
      <c r="N42" s="2054"/>
      <c r="O42" s="2054"/>
      <c r="P42" s="1938"/>
      <c r="Q42" s="1939"/>
      <c r="R42" s="1946">
        <v>1</v>
      </c>
      <c r="S42" s="1969" t="s">
        <v>118</v>
      </c>
      <c r="T42" s="1947" t="s">
        <v>103</v>
      </c>
      <c r="U42" s="1937" t="str">
        <f>OFFSET(U42,0,-1)</f>
        <v>2</v>
      </c>
      <c r="V42" s="2027">
        <f>OFFSET(V42,0,-1)+1</f>
        <v>3</v>
      </c>
      <c r="W42" s="2027"/>
      <c r="X42" s="2027">
        <f>OFFSET(X42,0,-1)+1</f>
        <v>1</v>
      </c>
      <c r="Y42" s="2027">
        <f>OFFSET(Y42,0,-1)+1</f>
        <v>2</v>
      </c>
      <c r="Z42" s="2027">
        <f>OFFSET(Z42,0,-1)+1</f>
        <v>3</v>
      </c>
      <c r="AA42" s="2964">
        <f>OFFSET(AA42,0,-1)+1</f>
        <v>4</v>
      </c>
      <c r="AB42" s="2964"/>
      <c r="AC42" s="2027">
        <f>OFFSET(AC42,0,-2)+1</f>
        <v>5</v>
      </c>
      <c r="AD42" s="2027">
        <f>OFFSET(AD42,0,-1)+1</f>
        <v>6</v>
      </c>
      <c r="AE42" s="2027"/>
      <c r="AF42" s="2027">
        <f>OFFSET(AF42,0,-1)+1</f>
        <v>1</v>
      </c>
      <c r="AG42" s="2027">
        <f>OFFSET(AG42,0,-1)+1</f>
        <v>2</v>
      </c>
      <c r="AH42" s="2027">
        <f>OFFSET(AH42,0,-1)+1</f>
        <v>3</v>
      </c>
      <c r="AI42" s="2964">
        <f>OFFSET(AI42,0,-1)+1</f>
        <v>4</v>
      </c>
      <c r="AJ42" s="2964"/>
      <c r="AK42" s="2027">
        <f>OFFSET(AK42,0,-2)+1</f>
        <v>5</v>
      </c>
      <c r="AL42" s="7452">
        <f>OFFSET(AL42,0,-1)+1</f>
        <v>6</v>
      </c>
      <c r="AM42" s="7452"/>
      <c r="AN42" s="7452">
        <f>OFFSET(AN42,0,-1)+1</f>
        <v>1</v>
      </c>
      <c r="AO42" s="7452">
        <f>OFFSET(AO42,0,-1)+1</f>
        <v>2</v>
      </c>
      <c r="AP42" s="7452">
        <f>OFFSET(AP42,0,-1)+1</f>
        <v>3</v>
      </c>
      <c r="AQ42" s="7452">
        <f>OFFSET(AQ42,0,-1)+1</f>
        <v>4</v>
      </c>
      <c r="AR42" s="7452"/>
      <c r="AS42" s="7452">
        <f>OFFSET(AS42,0,-2)+1</f>
        <v>5</v>
      </c>
      <c r="AT42" s="7452">
        <f>OFFSET(AT42,0,-1)+1</f>
        <v>6</v>
      </c>
      <c r="AU42" s="7452"/>
      <c r="AV42" s="7452">
        <f>OFFSET(AV42,0,-1)+1</f>
        <v>1</v>
      </c>
      <c r="AW42" s="7452">
        <f>OFFSET(AW42,0,-1)+1</f>
        <v>2</v>
      </c>
      <c r="AX42" s="7452">
        <f>OFFSET(AX42,0,-1)+1</f>
        <v>3</v>
      </c>
      <c r="AY42" s="7452">
        <f>OFFSET(AY42,0,-1)+1</f>
        <v>4</v>
      </c>
      <c r="AZ42" s="7452"/>
      <c r="BA42" s="7452">
        <f>OFFSET(BA42,0,-2)+1</f>
        <v>5</v>
      </c>
      <c r="BB42" s="7452">
        <f>OFFSET(BB42,0,-1)+1</f>
        <v>6</v>
      </c>
      <c r="BC42" s="7452"/>
      <c r="BD42" s="7452">
        <f>OFFSET(BD42,0,-1)+1</f>
        <v>1</v>
      </c>
      <c r="BE42" s="7452">
        <f>OFFSET(BE42,0,-1)+1</f>
        <v>2</v>
      </c>
      <c r="BF42" s="7452">
        <f>OFFSET(BF42,0,-1)+1</f>
        <v>3</v>
      </c>
      <c r="BG42" s="7452">
        <f>OFFSET(BG42,0,-1)+1</f>
        <v>4</v>
      </c>
      <c r="BH42" s="7452"/>
      <c r="BI42" s="7452">
        <f>OFFSET(BI42,0,-2)+1</f>
        <v>5</v>
      </c>
      <c r="BJ42" s="7452">
        <f>OFFSET(BJ42,0,-1)+1</f>
        <v>6</v>
      </c>
      <c r="BK42" s="7452"/>
      <c r="BL42" s="7452">
        <f>OFFSET(BL42,0,-1)+1</f>
        <v>1</v>
      </c>
      <c r="BM42" s="7452">
        <f>OFFSET(BM42,0,-1)+1</f>
        <v>2</v>
      </c>
      <c r="BN42" s="7452">
        <f>OFFSET(BN42,0,-1)+1</f>
        <v>3</v>
      </c>
      <c r="BO42" s="7452">
        <f>OFFSET(BO42,0,-1)+1</f>
        <v>4</v>
      </c>
      <c r="BP42" s="7452"/>
      <c r="BQ42" s="7452">
        <f>OFFSET(BQ42,0,-2)+1</f>
        <v>5</v>
      </c>
      <c r="BR42" s="1937">
        <f>OFFSET(BR42,0,-1)</f>
        <v>5</v>
      </c>
      <c r="BS42" s="2027">
        <f>OFFSET(BS42,0,-1)+1</f>
        <v>6</v>
      </c>
      <c r="BT42" s="1203"/>
      <c r="BU42" s="1203"/>
      <c r="BV42" s="1203"/>
      <c r="BW42" s="1203"/>
      <c r="BX42" s="1203"/>
      <c r="BY42" s="1188">
        <v>0</v>
      </c>
    </row>
    <row customHeight="1" ht="22.049999999999997">
      <c r="A43" s="2055" t="s">
        <v>224</v>
      </c>
      <c r="B43" s="2055"/>
      <c r="C43" s="2055"/>
      <c r="D43" s="2055"/>
      <c r="E43" s="2950">
        <v>1</v>
      </c>
      <c r="F43" s="2055"/>
      <c r="G43" s="2055"/>
      <c r="H43" s="2055"/>
      <c r="I43" s="2055"/>
      <c r="J43" s="2055"/>
      <c r="K43" s="2055"/>
      <c r="L43" s="2056"/>
      <c r="M43" s="2057"/>
      <c r="N43" s="2057"/>
      <c r="O43" s="2057"/>
      <c r="P43" s="1053"/>
      <c r="Q43" s="1052"/>
      <c r="R43" s="1047"/>
      <c r="S43" s="2028">
        <f>INDEX(PT_DIFFERENTIATION_NUM_NTAR,MATCH(A43,PT_DIFFERENTIATION_NTAR_ID,0))</f>
        <v>1</v>
      </c>
      <c r="T43" s="990" t="s">
        <v>131</v>
      </c>
      <c r="U43" s="992"/>
      <c r="V43" s="2934"/>
      <c r="W43" s="2935"/>
      <c r="X43" s="2935"/>
      <c r="Y43" s="2935"/>
      <c r="Z43" s="2935"/>
      <c r="AA43" s="2935"/>
      <c r="AB43" s="2935"/>
      <c r="AC43" s="2936"/>
      <c r="AD43" s="2934" t="str">
        <f>INDEX(PT_DIFFERENTIATION_NTAR,MATCH(A43,PT_DIFFERENTIATION_NTAR_ID,0))</f>
        <v>Тарифы на теплоноситель, поставляемый потребителям Артемовского городского округа</v>
      </c>
      <c r="AE43" s="2935"/>
      <c r="AF43" s="2935"/>
      <c r="AG43" s="2935"/>
      <c r="AH43" s="2935"/>
      <c r="AI43" s="2935"/>
      <c r="AJ43" s="2935"/>
      <c r="AK43" s="2935"/>
      <c r="AL43" s="7331"/>
      <c r="AM43" s="7332"/>
      <c r="AN43" s="7332"/>
      <c r="AO43" s="7332"/>
      <c r="AP43" s="7332"/>
      <c r="AQ43" s="7332"/>
      <c r="AR43" s="7332"/>
      <c r="AS43" s="7333"/>
      <c r="AT43" s="7331"/>
      <c r="AU43" s="7332"/>
      <c r="AV43" s="7332"/>
      <c r="AW43" s="7332"/>
      <c r="AX43" s="7332"/>
      <c r="AY43" s="7332"/>
      <c r="AZ43" s="7332"/>
      <c r="BA43" s="7333"/>
      <c r="BB43" s="7331"/>
      <c r="BC43" s="7332"/>
      <c r="BD43" s="7332"/>
      <c r="BE43" s="7332"/>
      <c r="BF43" s="7332"/>
      <c r="BG43" s="7332"/>
      <c r="BH43" s="7332"/>
      <c r="BI43" s="7333"/>
      <c r="BJ43" s="7331"/>
      <c r="BK43" s="7332"/>
      <c r="BL43" s="7332"/>
      <c r="BM43" s="7332"/>
      <c r="BN43" s="7332"/>
      <c r="BO43" s="7332"/>
      <c r="BP43" s="7332"/>
      <c r="BQ43" s="7333"/>
      <c r="BR43" s="2936"/>
      <c r="BS43" s="195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1192"/>
      <c r="BV43" s="1192" t="str">
        <f>IF(T43="","",T43)</f>
        <v>Наименование тарифа</v>
      </c>
      <c r="BW43" s="1192"/>
      <c r="BX43" s="1192"/>
      <c r="BY43" s="1847">
        <v>21</v>
      </c>
    </row>
    <row customHeight="1" ht="22.049999999999997">
      <c r="A44" s="2055" t="s">
        <v>224</v>
      </c>
      <c r="B44" s="2055" t="s">
        <v>225</v>
      </c>
      <c r="C44" s="2055"/>
      <c r="D44" s="2055"/>
      <c r="E44" s="2951"/>
      <c r="F44" s="2950">
        <v>1</v>
      </c>
      <c r="G44" s="2055"/>
      <c r="H44" s="2055"/>
      <c r="I44" s="2055"/>
      <c r="J44" s="2055"/>
      <c r="K44" s="2055"/>
      <c r="L44" s="2056"/>
      <c r="M44" s="2057"/>
      <c r="N44" s="2057"/>
      <c r="O44" s="2057"/>
      <c r="P44" s="2024"/>
      <c r="Q44" s="1044"/>
      <c r="R44" s="1045"/>
      <c r="S44" s="2028" t="str">
        <f>INDEX(PT_DIFFERENTIATION_NUM_TER,MATCH(B44,PT_DIFFERENTIATION_TER_ID,0))</f>
        <v>1.1</v>
      </c>
      <c r="T44" s="1000" t="s">
        <v>472</v>
      </c>
      <c r="U44" s="992"/>
      <c r="V44" s="2934"/>
      <c r="W44" s="2935"/>
      <c r="X44" s="2935"/>
      <c r="Y44" s="2935"/>
      <c r="Z44" s="2935"/>
      <c r="AA44" s="2935"/>
      <c r="AB44" s="2935"/>
      <c r="AC44" s="2936"/>
      <c r="AD44" s="2934" t="str">
        <f>INDEX(PT_DIFFERENTIATION_TER,MATCH(B44,PT_DIFFERENTIATION_TER_ID,0))</f>
        <v>Территория 1</v>
      </c>
      <c r="AE44" s="2935"/>
      <c r="AF44" s="2935"/>
      <c r="AG44" s="2935"/>
      <c r="AH44" s="2935"/>
      <c r="AI44" s="2935"/>
      <c r="AJ44" s="2935"/>
      <c r="AK44" s="2935"/>
      <c r="AL44" s="7331"/>
      <c r="AM44" s="7332"/>
      <c r="AN44" s="7332"/>
      <c r="AO44" s="7332"/>
      <c r="AP44" s="7332"/>
      <c r="AQ44" s="7332"/>
      <c r="AR44" s="7332"/>
      <c r="AS44" s="7333"/>
      <c r="AT44" s="7331"/>
      <c r="AU44" s="7332"/>
      <c r="AV44" s="7332"/>
      <c r="AW44" s="7332"/>
      <c r="AX44" s="7332"/>
      <c r="AY44" s="7332"/>
      <c r="AZ44" s="7332"/>
      <c r="BA44" s="7333"/>
      <c r="BB44" s="7331"/>
      <c r="BC44" s="7332"/>
      <c r="BD44" s="7332"/>
      <c r="BE44" s="7332"/>
      <c r="BF44" s="7332"/>
      <c r="BG44" s="7332"/>
      <c r="BH44" s="7332"/>
      <c r="BI44" s="7333"/>
      <c r="BJ44" s="7331"/>
      <c r="BK44" s="7332"/>
      <c r="BL44" s="7332"/>
      <c r="BM44" s="7332"/>
      <c r="BN44" s="7332"/>
      <c r="BO44" s="7332"/>
      <c r="BP44" s="7332"/>
      <c r="BQ44" s="7333"/>
      <c r="BR44" s="2936"/>
      <c r="BS44" s="1950" t="s">
        <v>473</v>
      </c>
      <c r="BU44" s="1192"/>
      <c r="BV44" s="1192" t="str">
        <f>IF(T44="","",T44)</f>
        <v>Территория действия тарифа</v>
      </c>
      <c r="BW44" s="1192"/>
      <c r="BX44" s="1192"/>
      <c r="BY44" s="1847">
        <v>21</v>
      </c>
    </row>
    <row customHeight="1" ht="24">
      <c r="A45" s="2055" t="s">
        <v>224</v>
      </c>
      <c r="B45" s="2055" t="s">
        <v>225</v>
      </c>
      <c r="C45" s="2055" t="s">
        <v>226</v>
      </c>
      <c r="D45" s="2055"/>
      <c r="E45" s="2951"/>
      <c r="F45" s="2951"/>
      <c r="G45" s="2950">
        <v>1</v>
      </c>
      <c r="H45" s="2055"/>
      <c r="I45" s="2055"/>
      <c r="J45" s="2055"/>
      <c r="K45" s="2055"/>
      <c r="L45" s="2056"/>
      <c r="M45" s="2057"/>
      <c r="N45" s="2057"/>
      <c r="O45" s="2057"/>
      <c r="P45" s="1046"/>
      <c r="Q45" s="1044"/>
      <c r="R45" s="1045"/>
      <c r="S45" s="2028" t="str">
        <f>INDEX(PT_DIFFERENTIATION_NUM_CS,MATCH(C45,PT_DIFFERENTIATION_CS_ID,0))</f>
        <v>1.1.1</v>
      </c>
      <c r="T45" s="1001" t="s">
        <v>474</v>
      </c>
      <c r="U45" s="992"/>
      <c r="V45" s="2934"/>
      <c r="W45" s="2935"/>
      <c r="X45" s="2935"/>
      <c r="Y45" s="2935"/>
      <c r="Z45" s="2935"/>
      <c r="AA45" s="2935"/>
      <c r="AB45" s="2935"/>
      <c r="AC45" s="2936"/>
      <c r="AD45" s="2934" t="str">
        <f>INDEX(PT_DIFFERENTIATION_CS,MATCH(C45,PT_DIFFERENTIATION_CS_ID,0))</f>
        <v>без дифференциации</v>
      </c>
      <c r="AE45" s="2935"/>
      <c r="AF45" s="2935"/>
      <c r="AG45" s="2935"/>
      <c r="AH45" s="2935"/>
      <c r="AI45" s="2935"/>
      <c r="AJ45" s="2935"/>
      <c r="AK45" s="2935"/>
      <c r="AL45" s="7331"/>
      <c r="AM45" s="7332"/>
      <c r="AN45" s="7332"/>
      <c r="AO45" s="7332"/>
      <c r="AP45" s="7332"/>
      <c r="AQ45" s="7332"/>
      <c r="AR45" s="7332"/>
      <c r="AS45" s="7333"/>
      <c r="AT45" s="7331"/>
      <c r="AU45" s="7332"/>
      <c r="AV45" s="7332"/>
      <c r="AW45" s="7332"/>
      <c r="AX45" s="7332"/>
      <c r="AY45" s="7332"/>
      <c r="AZ45" s="7332"/>
      <c r="BA45" s="7333"/>
      <c r="BB45" s="7331"/>
      <c r="BC45" s="7332"/>
      <c r="BD45" s="7332"/>
      <c r="BE45" s="7332"/>
      <c r="BF45" s="7332"/>
      <c r="BG45" s="7332"/>
      <c r="BH45" s="7332"/>
      <c r="BI45" s="7333"/>
      <c r="BJ45" s="7331"/>
      <c r="BK45" s="7332"/>
      <c r="BL45" s="7332"/>
      <c r="BM45" s="7332"/>
      <c r="BN45" s="7332"/>
      <c r="BO45" s="7332"/>
      <c r="BP45" s="7332"/>
      <c r="BQ45" s="7333"/>
      <c r="BR45" s="2936"/>
      <c r="BS45" s="1950" t="s">
        <v>475</v>
      </c>
      <c r="BU45" s="1192"/>
      <c r="BV45" s="1192" t="str">
        <f>IF(T45="","",T45)</f>
        <v>Наименование системы теплоснабжения </v>
      </c>
      <c r="BW45" s="1192"/>
      <c r="BX45" s="1192"/>
      <c r="BY45" s="1847">
        <v>23</v>
      </c>
    </row>
    <row customHeight="1" ht="22.049999999999997">
      <c r="A46" s="2055" t="s">
        <v>224</v>
      </c>
      <c r="B46" s="2055" t="s">
        <v>225</v>
      </c>
      <c r="C46" s="2055" t="s">
        <v>226</v>
      </c>
      <c r="D46" s="2055" t="s">
        <v>227</v>
      </c>
      <c r="E46" s="2951"/>
      <c r="F46" s="2951"/>
      <c r="G46" s="2951"/>
      <c r="H46" s="2950">
        <v>1</v>
      </c>
      <c r="I46" s="2055"/>
      <c r="J46" s="2055"/>
      <c r="K46" s="2055"/>
      <c r="L46" s="2056"/>
      <c r="M46" s="2057"/>
      <c r="N46" s="2057"/>
      <c r="O46" s="2057"/>
      <c r="P46" s="1046"/>
      <c r="Q46" s="1044"/>
      <c r="R46" s="1045"/>
      <c r="S46" s="2028" t="str">
        <f>INDEX(PT_DIFFERENTIATION_NUM_IST_TE,MATCH(D46,PT_DIFFERENTIATION_IST_TE_ID,0))</f>
        <v>1.1.1.1</v>
      </c>
      <c r="T46" s="1002" t="s">
        <v>476</v>
      </c>
      <c r="U46" s="992"/>
      <c r="V46" s="2934"/>
      <c r="W46" s="2935"/>
      <c r="X46" s="2935"/>
      <c r="Y46" s="2935"/>
      <c r="Z46" s="2935"/>
      <c r="AA46" s="2935"/>
      <c r="AB46" s="2935"/>
      <c r="AC46" s="2936"/>
      <c r="AD46" s="2934" t="str">
        <f>INDEX(PT_DIFFERENTIATION_IST_TE,MATCH(D46,PT_DIFFERENTIATION_IST_TE_ID,0))</f>
        <v>без дифференциации</v>
      </c>
      <c r="AE46" s="2935"/>
      <c r="AF46" s="2935"/>
      <c r="AG46" s="2935"/>
      <c r="AH46" s="2935"/>
      <c r="AI46" s="2935"/>
      <c r="AJ46" s="2935"/>
      <c r="AK46" s="2935"/>
      <c r="AL46" s="7331"/>
      <c r="AM46" s="7332"/>
      <c r="AN46" s="7332"/>
      <c r="AO46" s="7332"/>
      <c r="AP46" s="7332"/>
      <c r="AQ46" s="7332"/>
      <c r="AR46" s="7332"/>
      <c r="AS46" s="7333"/>
      <c r="AT46" s="7331"/>
      <c r="AU46" s="7332"/>
      <c r="AV46" s="7332"/>
      <c r="AW46" s="7332"/>
      <c r="AX46" s="7332"/>
      <c r="AY46" s="7332"/>
      <c r="AZ46" s="7332"/>
      <c r="BA46" s="7333"/>
      <c r="BB46" s="7331"/>
      <c r="BC46" s="7332"/>
      <c r="BD46" s="7332"/>
      <c r="BE46" s="7332"/>
      <c r="BF46" s="7332"/>
      <c r="BG46" s="7332"/>
      <c r="BH46" s="7332"/>
      <c r="BI46" s="7333"/>
      <c r="BJ46" s="7331"/>
      <c r="BK46" s="7332"/>
      <c r="BL46" s="7332"/>
      <c r="BM46" s="7332"/>
      <c r="BN46" s="7332"/>
      <c r="BO46" s="7332"/>
      <c r="BP46" s="7332"/>
      <c r="BQ46" s="7333"/>
      <c r="BR46" s="2936"/>
      <c r="BS46" s="1950" t="s">
        <v>477</v>
      </c>
      <c r="BU46" s="1192"/>
      <c r="BV46" s="1192" t="str">
        <f>IF(T46="","",T46)</f>
        <v>Источник тепловой энергии  </v>
      </c>
      <c r="BW46" s="1192"/>
      <c r="BX46" s="1192"/>
      <c r="BY46" s="1847">
        <v>21</v>
      </c>
    </row>
    <row s="61695" customFormat="1" customHeight="1" ht="0">
      <c r="A47" s="2035" t="s">
        <v>224</v>
      </c>
      <c r="B47" s="2035" t="s">
        <v>225</v>
      </c>
      <c r="C47" s="2035" t="s">
        <v>226</v>
      </c>
      <c r="D47" s="2035" t="s">
        <v>227</v>
      </c>
      <c r="E47" s="2951"/>
      <c r="F47" s="2951"/>
      <c r="G47" s="2951"/>
      <c r="H47" s="2951"/>
      <c r="I47" s="2948" t="str">
        <f>S46&amp;".1"</f>
        <v>1.1.1.1.1</v>
      </c>
      <c r="J47" s="2035"/>
      <c r="K47" s="2035"/>
      <c r="L47" s="2038" t="s">
        <v>478</v>
      </c>
      <c r="M47" s="1202"/>
      <c r="N47" s="1202"/>
      <c r="O47" s="1202"/>
      <c r="P47" s="2949">
        <v>1</v>
      </c>
      <c r="Q47" s="2023"/>
      <c r="R47" s="1048"/>
      <c r="S47" s="1734"/>
      <c r="T47" s="2075"/>
      <c r="U47" s="2076"/>
      <c r="V47" s="2988"/>
      <c r="W47" s="2989"/>
      <c r="X47" s="2989"/>
      <c r="Y47" s="2989"/>
      <c r="Z47" s="2989"/>
      <c r="AA47" s="2989"/>
      <c r="AB47" s="2989"/>
      <c r="AC47" s="2990"/>
      <c r="AD47" s="2988"/>
      <c r="AE47" s="2989"/>
      <c r="AF47" s="2989"/>
      <c r="AG47" s="2989"/>
      <c r="AH47" s="2989"/>
      <c r="AI47" s="2989"/>
      <c r="AJ47" s="2989"/>
      <c r="AK47" s="2989"/>
      <c r="AL47" s="7340"/>
      <c r="AM47" s="7341"/>
      <c r="AN47" s="7341"/>
      <c r="AO47" s="7341"/>
      <c r="AP47" s="7341"/>
      <c r="AQ47" s="7341"/>
      <c r="AR47" s="7341"/>
      <c r="AS47" s="7342"/>
      <c r="AT47" s="7340"/>
      <c r="AU47" s="7341"/>
      <c r="AV47" s="7341"/>
      <c r="AW47" s="7341"/>
      <c r="AX47" s="7341"/>
      <c r="AY47" s="7341"/>
      <c r="AZ47" s="7341"/>
      <c r="BA47" s="7342"/>
      <c r="BB47" s="7340"/>
      <c r="BC47" s="7341"/>
      <c r="BD47" s="7341"/>
      <c r="BE47" s="7341"/>
      <c r="BF47" s="7341"/>
      <c r="BG47" s="7341"/>
      <c r="BH47" s="7341"/>
      <c r="BI47" s="7342"/>
      <c r="BJ47" s="7340"/>
      <c r="BK47" s="7341"/>
      <c r="BL47" s="7341"/>
      <c r="BM47" s="7341"/>
      <c r="BN47" s="7341"/>
      <c r="BO47" s="7341"/>
      <c r="BP47" s="7341"/>
      <c r="BQ47" s="7342"/>
      <c r="BR47" s="2990"/>
      <c r="BS47" s="2077"/>
      <c r="BU47" s="1192"/>
      <c r="BV47" s="1192" t="str">
        <f>IF(T47="","",T47)</f>
        <v/>
      </c>
      <c r="BW47" s="1192"/>
      <c r="BX47" s="1192"/>
      <c r="BY47" s="1203">
        <v>0</v>
      </c>
    </row>
    <row customHeight="1" ht="22.049999999999997">
      <c r="A48" s="2055" t="s">
        <v>224</v>
      </c>
      <c r="B48" s="2055" t="s">
        <v>225</v>
      </c>
      <c r="C48" s="2055" t="s">
        <v>226</v>
      </c>
      <c r="D48" s="2055" t="s">
        <v>227</v>
      </c>
      <c r="E48" s="2951"/>
      <c r="F48" s="2951"/>
      <c r="G48" s="2951"/>
      <c r="H48" s="2951"/>
      <c r="I48" s="2978"/>
      <c r="J48" s="2948" t="str">
        <f>S46&amp;".1"</f>
        <v>1.1.1.1.1</v>
      </c>
      <c r="K48" s="2055"/>
      <c r="L48" s="2056" t="s">
        <v>481</v>
      </c>
      <c r="P48" s="2949"/>
      <c r="Q48" s="2949">
        <v>1</v>
      </c>
      <c r="R48" s="1049"/>
      <c r="S48" s="2028" t="str">
        <f>$J48</f>
        <v>1.1.1.1.1</v>
      </c>
      <c r="T48" s="978" t="s">
        <v>482</v>
      </c>
      <c r="U48" s="992"/>
      <c r="V48" s="2937"/>
      <c r="W48" s="2938"/>
      <c r="X48" s="2938"/>
      <c r="Y48" s="2938"/>
      <c r="Z48" s="2938"/>
      <c r="AA48" s="2938"/>
      <c r="AB48" s="2938"/>
      <c r="AC48" s="2939"/>
      <c r="AD48" s="2937" t="s">
        <v>521</v>
      </c>
      <c r="AE48" s="2938"/>
      <c r="AF48" s="2938"/>
      <c r="AG48" s="2938"/>
      <c r="AH48" s="2938"/>
      <c r="AI48" s="2938"/>
      <c r="AJ48" s="2938"/>
      <c r="AK48" s="2938"/>
      <c r="AL48" s="7344"/>
      <c r="AM48" s="7345"/>
      <c r="AN48" s="7345"/>
      <c r="AO48" s="7345"/>
      <c r="AP48" s="7345"/>
      <c r="AQ48" s="7345"/>
      <c r="AR48" s="7345"/>
      <c r="AS48" s="7346"/>
      <c r="AT48" s="7344"/>
      <c r="AU48" s="7345"/>
      <c r="AV48" s="7345"/>
      <c r="AW48" s="7345"/>
      <c r="AX48" s="7345"/>
      <c r="AY48" s="7345"/>
      <c r="AZ48" s="7345"/>
      <c r="BA48" s="7346"/>
      <c r="BB48" s="7344"/>
      <c r="BC48" s="7345"/>
      <c r="BD48" s="7345"/>
      <c r="BE48" s="7345"/>
      <c r="BF48" s="7345"/>
      <c r="BG48" s="7345"/>
      <c r="BH48" s="7345"/>
      <c r="BI48" s="7346"/>
      <c r="BJ48" s="7344"/>
      <c r="BK48" s="7345"/>
      <c r="BL48" s="7345"/>
      <c r="BM48" s="7345"/>
      <c r="BN48" s="7345"/>
      <c r="BO48" s="7345"/>
      <c r="BP48" s="7345"/>
      <c r="BQ48" s="7346"/>
      <c r="BR48" s="2939"/>
      <c r="BS48" s="1950" t="s">
        <v>483</v>
      </c>
      <c r="BU48" s="1192"/>
      <c r="BV48" s="1192" t="str">
        <f>IF(T48="","",T48)</f>
        <v>Группа потребителей</v>
      </c>
      <c r="BW48" s="1192"/>
      <c r="BX48" s="1192"/>
      <c r="BY48" s="1847">
        <v>21</v>
      </c>
    </row>
    <row customHeight="1" ht="22.049999999999997">
      <c r="A49" s="2055" t="s">
        <v>224</v>
      </c>
      <c r="B49" s="2055" t="s">
        <v>225</v>
      </c>
      <c r="C49" s="2055" t="s">
        <v>226</v>
      </c>
      <c r="D49" s="2055" t="s">
        <v>227</v>
      </c>
      <c r="E49" s="2951"/>
      <c r="F49" s="2951"/>
      <c r="G49" s="2951"/>
      <c r="H49" s="2951"/>
      <c r="I49" s="2978"/>
      <c r="J49" s="2978"/>
      <c r="K49" s="2948" t="str">
        <f>J48&amp;".1"</f>
        <v>1.1.1.1.1.1</v>
      </c>
      <c r="L49" s="2056" t="s">
        <v>484</v>
      </c>
      <c r="P49" s="2949"/>
      <c r="Q49" s="2949"/>
      <c r="R49" s="1049">
        <v>1</v>
      </c>
      <c r="S49" s="2028" t="str">
        <f>$K49</f>
        <v>1.1.1.1.1.1</v>
      </c>
      <c r="T49" s="2039" t="s">
        <v>522</v>
      </c>
      <c r="U49" s="992"/>
      <c r="V49" s="1443"/>
      <c r="W49" s="1017"/>
      <c r="X49" s="1443"/>
      <c r="Y49" s="1949"/>
      <c r="Z49" s="2957"/>
      <c r="AA49" s="2799" t="s">
        <v>67</v>
      </c>
      <c r="AB49" s="2957"/>
      <c r="AC49" s="2799" t="s">
        <v>67</v>
      </c>
      <c r="AD49" s="1443">
        <v>4.06</v>
      </c>
      <c r="AE49" s="1017"/>
      <c r="AF49" s="1443"/>
      <c r="AG49" s="1949"/>
      <c r="AH49" s="7350">
        <v>45292</v>
      </c>
      <c r="AI49" s="2799" t="s">
        <v>67</v>
      </c>
      <c r="AJ49" s="7454">
        <v>45657</v>
      </c>
      <c r="AK49" s="2799" t="s">
        <v>67</v>
      </c>
      <c r="AL49" s="7347">
        <v>5.3</v>
      </c>
      <c r="AM49" s="7348"/>
      <c r="AN49" s="7347"/>
      <c r="AO49" s="7349"/>
      <c r="AP49" s="7350">
        <v>45658</v>
      </c>
      <c r="AQ49" s="7351" t="s">
        <v>67</v>
      </c>
      <c r="AR49" s="7350">
        <v>46022</v>
      </c>
      <c r="AS49" s="7351" t="s">
        <v>67</v>
      </c>
      <c r="AT49" s="7347">
        <v>5.91</v>
      </c>
      <c r="AU49" s="7348"/>
      <c r="AV49" s="7347"/>
      <c r="AW49" s="7349"/>
      <c r="AX49" s="7350">
        <v>46023</v>
      </c>
      <c r="AY49" s="7351" t="s">
        <v>67</v>
      </c>
      <c r="AZ49" s="7350">
        <v>46387</v>
      </c>
      <c r="BA49" s="7351" t="s">
        <v>67</v>
      </c>
      <c r="BB49" s="7347">
        <v>1.89</v>
      </c>
      <c r="BC49" s="7348"/>
      <c r="BD49" s="7347"/>
      <c r="BE49" s="7349"/>
      <c r="BF49" s="7350">
        <v>46388</v>
      </c>
      <c r="BG49" s="7351" t="s">
        <v>67</v>
      </c>
      <c r="BH49" s="7350">
        <v>46752</v>
      </c>
      <c r="BI49" s="7351" t="s">
        <v>67</v>
      </c>
      <c r="BJ49" s="7347">
        <v>1.92</v>
      </c>
      <c r="BK49" s="7348"/>
      <c r="BL49" s="7347"/>
      <c r="BM49" s="7349"/>
      <c r="BN49" s="7350">
        <v>46753</v>
      </c>
      <c r="BO49" s="7351" t="s">
        <v>67</v>
      </c>
      <c r="BP49" s="7350">
        <v>47118</v>
      </c>
      <c r="BQ49" s="7351" t="s">
        <v>67</v>
      </c>
      <c r="BR49" s="2040"/>
      <c r="BS49" s="2945" t="s">
        <v>525</v>
      </c>
      <c r="BT49" s="1203">
        <f>STRCHECKDATE(V50:BR50)</f>
      </c>
      <c r="BU49" s="1192"/>
      <c r="BV49" s="1192" t="str">
        <f>IF(T49="","",T49)</f>
        <v>вода</v>
      </c>
      <c r="BW49" s="1192"/>
      <c r="BX49" s="1192"/>
      <c r="BY49" s="1847">
        <v>21</v>
      </c>
    </row>
    <row customHeight="1" ht="1.05">
      <c r="A50" s="2055" t="s">
        <v>224</v>
      </c>
      <c r="B50" s="2055" t="s">
        <v>225</v>
      </c>
      <c r="C50" s="2055" t="s">
        <v>226</v>
      </c>
      <c r="D50" s="2055" t="s">
        <v>227</v>
      </c>
      <c r="E50" s="2951"/>
      <c r="F50" s="2951"/>
      <c r="G50" s="2951"/>
      <c r="H50" s="2951"/>
      <c r="I50" s="2978"/>
      <c r="J50" s="2978"/>
      <c r="K50" s="2948"/>
      <c r="L50" s="2056"/>
      <c r="P50" s="2949"/>
      <c r="Q50" s="2949"/>
      <c r="R50" s="1049"/>
      <c r="S50" s="2034"/>
      <c r="T50" s="992"/>
      <c r="U50" s="992"/>
      <c r="V50" s="1017"/>
      <c r="W50" s="1017"/>
      <c r="X50" s="1017"/>
      <c r="Y50" s="1020" t="str">
        <f>Z49&amp;"-"&amp;AB49</f>
        <v>-</v>
      </c>
      <c r="Z50" s="2958"/>
      <c r="AA50" s="2799"/>
      <c r="AB50" s="2958"/>
      <c r="AC50" s="2799"/>
      <c r="AD50" s="1017"/>
      <c r="AE50" s="1017"/>
      <c r="AF50" s="1017"/>
      <c r="AG50" s="1020" t="str">
        <f>AH49&amp;"-"&amp;AJ49</f>
        <v>45292-45657</v>
      </c>
      <c r="AH50" s="2958"/>
      <c r="AI50" s="2799"/>
      <c r="AJ50" s="2980"/>
      <c r="AK50" s="2799"/>
      <c r="AL50" s="7348"/>
      <c r="AM50" s="7348"/>
      <c r="AN50" s="7348"/>
      <c r="AO50" s="7352" t="str">
        <f>AP49&amp;"-"&amp;AR49</f>
        <v>45658-46022</v>
      </c>
      <c r="AP50" s="7353"/>
      <c r="AQ50" s="7351"/>
      <c r="AR50" s="7353"/>
      <c r="AS50" s="7351"/>
      <c r="AT50" s="7348"/>
      <c r="AU50" s="7348"/>
      <c r="AV50" s="7348"/>
      <c r="AW50" s="7352" t="str">
        <f>AX49&amp;"-"&amp;AZ49</f>
        <v>46023-46387</v>
      </c>
      <c r="AX50" s="7353"/>
      <c r="AY50" s="7351"/>
      <c r="AZ50" s="7353"/>
      <c r="BA50" s="7351"/>
      <c r="BB50" s="7348"/>
      <c r="BC50" s="7348"/>
      <c r="BD50" s="7348"/>
      <c r="BE50" s="7352" t="str">
        <f>BF49&amp;"-"&amp;BH49</f>
        <v>46388-46752</v>
      </c>
      <c r="BF50" s="7353"/>
      <c r="BG50" s="7351"/>
      <c r="BH50" s="7353"/>
      <c r="BI50" s="7351"/>
      <c r="BJ50" s="7348"/>
      <c r="BK50" s="7348"/>
      <c r="BL50" s="7348"/>
      <c r="BM50" s="7352" t="str">
        <f>BN49&amp;"-"&amp;BP49</f>
        <v>46753-47118</v>
      </c>
      <c r="BN50" s="7353"/>
      <c r="BO50" s="7351"/>
      <c r="BP50" s="7353"/>
      <c r="BQ50" s="7351"/>
      <c r="BR50" s="2041"/>
      <c r="BS50" s="2946"/>
      <c r="BU50" s="1192"/>
      <c r="BV50" s="1192" t="str">
        <f>IF(T50="","",T50)</f>
        <v/>
      </c>
      <c r="BW50" s="1192"/>
      <c r="BX50" s="1192"/>
      <c r="BY50" s="1847">
        <v>1</v>
      </c>
    </row>
    <row customHeight="1" ht="11.549999999999999">
      <c r="A51" s="2055" t="s">
        <v>224</v>
      </c>
      <c r="B51" s="2055" t="s">
        <v>225</v>
      </c>
      <c r="C51" s="2055" t="s">
        <v>226</v>
      </c>
      <c r="D51" s="2055" t="s">
        <v>227</v>
      </c>
      <c r="E51" s="2951"/>
      <c r="F51" s="2951"/>
      <c r="G51" s="2951"/>
      <c r="H51" s="2951"/>
      <c r="I51" s="2978"/>
      <c r="J51" s="2948"/>
      <c r="K51" s="2055"/>
      <c r="L51" s="2056"/>
      <c r="P51" s="2949"/>
      <c r="Q51" s="2949"/>
      <c r="R51" s="1048"/>
      <c r="S51" s="1970"/>
      <c r="T51" s="979" t="s">
        <v>486</v>
      </c>
      <c r="U51" s="1059"/>
      <c r="V51" s="1059"/>
      <c r="W51" s="1059"/>
      <c r="X51" s="1059"/>
      <c r="Y51" s="1059"/>
      <c r="Z51" s="1059"/>
      <c r="AA51" s="1059"/>
      <c r="AB51" s="1059"/>
      <c r="AC51" s="1059"/>
      <c r="AD51" s="1059"/>
      <c r="AE51" s="1059"/>
      <c r="AF51" s="1059"/>
      <c r="AG51" s="1059"/>
      <c r="AH51" s="1059"/>
      <c r="AI51" s="1059"/>
      <c r="AJ51" s="1059"/>
      <c r="AK51" s="1059"/>
      <c r="AL51" s="7455"/>
      <c r="AM51" s="7456"/>
      <c r="AN51" s="7457"/>
      <c r="AO51" s="7458"/>
      <c r="AP51" s="7459"/>
      <c r="AQ51" s="7460"/>
      <c r="AR51" s="7461"/>
      <c r="AS51" s="7462"/>
      <c r="AT51" s="7463"/>
      <c r="AU51" s="7464"/>
      <c r="AV51" s="7465"/>
      <c r="AW51" s="7466"/>
      <c r="AX51" s="7467"/>
      <c r="AY51" s="7468"/>
      <c r="AZ51" s="7469"/>
      <c r="BA51" s="7470"/>
      <c r="BB51" s="7471"/>
      <c r="BC51" s="7472"/>
      <c r="BD51" s="7473"/>
      <c r="BE51" s="7474"/>
      <c r="BF51" s="7475"/>
      <c r="BG51" s="7476"/>
      <c r="BH51" s="7477"/>
      <c r="BI51" s="7478"/>
      <c r="BJ51" s="7479"/>
      <c r="BK51" s="7480"/>
      <c r="BL51" s="7481"/>
      <c r="BM51" s="7482"/>
      <c r="BN51" s="7483"/>
      <c r="BO51" s="7484"/>
      <c r="BP51" s="7485"/>
      <c r="BQ51" s="7486"/>
      <c r="BR51" s="1016"/>
      <c r="BS51" s="2947"/>
      <c r="BU51" s="1192"/>
      <c r="BV51" s="1192" t="str">
        <f>IF(T51="","",T51)</f>
        <v>Добавить вид теплоносителя (параметры теплоносителя)</v>
      </c>
      <c r="BW51" s="1192"/>
      <c r="BX51" s="1192"/>
      <c r="BY51" s="1847">
        <v>11</v>
      </c>
    </row>
    <row customHeight="1" ht="11.549999999999999">
      <c r="A52" s="2055" t="s">
        <v>224</v>
      </c>
      <c r="B52" s="2055" t="s">
        <v>225</v>
      </c>
      <c r="C52" s="2055" t="s">
        <v>226</v>
      </c>
      <c r="D52" s="2055" t="s">
        <v>227</v>
      </c>
      <c r="E52" s="2951"/>
      <c r="F52" s="2951"/>
      <c r="G52" s="2951"/>
      <c r="H52" s="2951"/>
      <c r="I52" s="2948"/>
      <c r="J52" s="2055"/>
      <c r="K52" s="2055"/>
      <c r="L52" s="2056"/>
      <c r="P52" s="2949"/>
      <c r="Q52" s="2023"/>
      <c r="R52" s="1048"/>
      <c r="S52" s="1970"/>
      <c r="T52" s="1057" t="s">
        <v>487</v>
      </c>
      <c r="U52" s="1059"/>
      <c r="V52" s="1059"/>
      <c r="W52" s="1059"/>
      <c r="X52" s="1059"/>
      <c r="Y52" s="1059"/>
      <c r="Z52" s="1059"/>
      <c r="AA52" s="1059"/>
      <c r="AB52" s="1059"/>
      <c r="AC52" s="1058"/>
      <c r="AD52" s="1059"/>
      <c r="AE52" s="1059"/>
      <c r="AF52" s="1059"/>
      <c r="AG52" s="1059"/>
      <c r="AH52" s="1059"/>
      <c r="AI52" s="1059"/>
      <c r="AJ52" s="1059"/>
      <c r="AK52" s="1058"/>
      <c r="AL52" s="7487"/>
      <c r="AM52" s="7488"/>
      <c r="AN52" s="7489"/>
      <c r="AO52" s="7490"/>
      <c r="AP52" s="7491"/>
      <c r="AQ52" s="7492"/>
      <c r="AR52" s="7493"/>
      <c r="AS52" s="7494"/>
      <c r="AT52" s="7495"/>
      <c r="AU52" s="7496"/>
      <c r="AV52" s="7497"/>
      <c r="AW52" s="7498"/>
      <c r="AX52" s="7499"/>
      <c r="AY52" s="7500"/>
      <c r="AZ52" s="7501"/>
      <c r="BA52" s="7502"/>
      <c r="BB52" s="7503"/>
      <c r="BC52" s="7504"/>
      <c r="BD52" s="7505"/>
      <c r="BE52" s="7506"/>
      <c r="BF52" s="7507"/>
      <c r="BG52" s="7508"/>
      <c r="BH52" s="7509"/>
      <c r="BI52" s="7510"/>
      <c r="BJ52" s="7511"/>
      <c r="BK52" s="7512"/>
      <c r="BL52" s="7513"/>
      <c r="BM52" s="7514"/>
      <c r="BN52" s="7515"/>
      <c r="BO52" s="7516"/>
      <c r="BP52" s="7517"/>
      <c r="BQ52" s="7518"/>
      <c r="BR52" s="1059"/>
      <c r="BS52" s="995"/>
      <c r="BU52" s="1192"/>
      <c r="BV52" s="1192" t="str">
        <f>IF(T52="","",T52)</f>
        <v>Добавить группу потребителей</v>
      </c>
      <c r="BW52" s="1192"/>
      <c r="BX52" s="1192"/>
      <c r="BY52" s="1847">
        <v>11</v>
      </c>
    </row>
    <row customHeight="1" ht="0">
      <c r="A53" s="2055" t="s">
        <v>224</v>
      </c>
      <c r="B53" s="2055" t="s">
        <v>225</v>
      </c>
      <c r="C53" s="2055" t="s">
        <v>226</v>
      </c>
      <c r="D53" s="2055" t="s">
        <v>227</v>
      </c>
      <c r="E53" s="2951"/>
      <c r="F53" s="2951"/>
      <c r="G53" s="2951"/>
      <c r="H53" s="2950"/>
      <c r="I53" s="2055"/>
      <c r="J53" s="2055"/>
      <c r="K53" s="2055"/>
      <c r="L53" s="2056"/>
      <c r="M53" s="2057"/>
      <c r="N53" s="2057"/>
      <c r="O53" s="1229"/>
      <c r="P53" s="1052"/>
      <c r="Q53" s="1067"/>
      <c r="R53" s="1047"/>
      <c r="S53" s="2078"/>
      <c r="T53" s="2079"/>
      <c r="U53" s="2080"/>
      <c r="V53" s="2080"/>
      <c r="W53" s="2080"/>
      <c r="X53" s="2080"/>
      <c r="Y53" s="2080"/>
      <c r="Z53" s="2080"/>
      <c r="AA53" s="2080"/>
      <c r="AB53" s="2080"/>
      <c r="AC53" s="2080"/>
      <c r="AD53" s="2080"/>
      <c r="AE53" s="2080"/>
      <c r="AF53" s="2080"/>
      <c r="AG53" s="2080"/>
      <c r="AH53" s="2080"/>
      <c r="AI53" s="2080"/>
      <c r="AJ53" s="2080"/>
      <c r="AK53" s="2080"/>
      <c r="AL53" s="7421"/>
      <c r="AM53" s="7421"/>
      <c r="AN53" s="7421"/>
      <c r="AO53" s="7421"/>
      <c r="AP53" s="7421"/>
      <c r="AQ53" s="7421"/>
      <c r="AR53" s="7421"/>
      <c r="AS53" s="7421"/>
      <c r="AT53" s="7421"/>
      <c r="AU53" s="7421"/>
      <c r="AV53" s="7421"/>
      <c r="AW53" s="7421"/>
      <c r="AX53" s="7421"/>
      <c r="AY53" s="7421"/>
      <c r="AZ53" s="7421"/>
      <c r="BA53" s="7421"/>
      <c r="BB53" s="7421"/>
      <c r="BC53" s="7421"/>
      <c r="BD53" s="7421"/>
      <c r="BE53" s="7421"/>
      <c r="BF53" s="7421"/>
      <c r="BG53" s="7421"/>
      <c r="BH53" s="7421"/>
      <c r="BI53" s="7421"/>
      <c r="BJ53" s="7421"/>
      <c r="BK53" s="7421"/>
      <c r="BL53" s="7421"/>
      <c r="BM53" s="7421"/>
      <c r="BN53" s="7421"/>
      <c r="BO53" s="7421"/>
      <c r="BP53" s="7421"/>
      <c r="BQ53" s="7421"/>
      <c r="BR53" s="2080"/>
      <c r="BS53" s="2081"/>
      <c r="BU53" s="1192"/>
      <c r="BV53" s="1192" t="str">
        <f>IF(T53="","",T53)</f>
        <v/>
      </c>
      <c r="BW53" s="1192"/>
      <c r="BX53" s="1192"/>
      <c r="BY53" s="1847">
        <v>0</v>
      </c>
    </row>
    <row s="61695" customFormat="1" customHeight="1" ht="1.05">
      <c r="A54" s="2035" t="s">
        <v>224</v>
      </c>
      <c r="B54" s="2035" t="s">
        <v>225</v>
      </c>
      <c r="C54" s="2035" t="s">
        <v>226</v>
      </c>
      <c r="D54" s="2006"/>
      <c r="E54" s="2951"/>
      <c r="F54" s="2951"/>
      <c r="G54" s="2950"/>
      <c r="H54" s="2006"/>
      <c r="I54" s="2006"/>
      <c r="J54" s="2006"/>
      <c r="K54" s="2006"/>
      <c r="L54" s="2031"/>
      <c r="M54" s="2007"/>
      <c r="N54" s="2007"/>
      <c r="P54" s="2008"/>
      <c r="Q54" s="2009"/>
      <c r="R54" s="2008"/>
      <c r="S54" s="2014"/>
      <c r="T54" s="2017" t="s">
        <v>171</v>
      </c>
      <c r="U54" s="2016"/>
      <c r="V54" s="2016"/>
      <c r="W54" s="2016"/>
      <c r="X54" s="2016"/>
      <c r="Y54" s="2016"/>
      <c r="Z54" s="2016"/>
      <c r="AA54" s="2016"/>
      <c r="AB54" s="2016"/>
      <c r="AC54" s="2016"/>
      <c r="AD54" s="2016"/>
      <c r="AE54" s="2016"/>
      <c r="AF54" s="2016"/>
      <c r="AG54" s="2016"/>
      <c r="AH54" s="2016"/>
      <c r="AI54" s="2016"/>
      <c r="AJ54" s="2016"/>
      <c r="AK54" s="2016"/>
      <c r="AL54" s="7424"/>
      <c r="AM54" s="7424"/>
      <c r="AN54" s="7424"/>
      <c r="AO54" s="7424"/>
      <c r="AP54" s="7424"/>
      <c r="AQ54" s="7424"/>
      <c r="AR54" s="7424"/>
      <c r="AS54" s="7424"/>
      <c r="AT54" s="7424"/>
      <c r="AU54" s="7424"/>
      <c r="AV54" s="7424"/>
      <c r="AW54" s="7424"/>
      <c r="AX54" s="7424"/>
      <c r="AY54" s="7424"/>
      <c r="AZ54" s="7424"/>
      <c r="BA54" s="7424"/>
      <c r="BB54" s="7424"/>
      <c r="BC54" s="7424"/>
      <c r="BD54" s="7424"/>
      <c r="BE54" s="7424"/>
      <c r="BF54" s="7424"/>
      <c r="BG54" s="7424"/>
      <c r="BH54" s="7424"/>
      <c r="BI54" s="7424"/>
      <c r="BJ54" s="7424"/>
      <c r="BK54" s="7424"/>
      <c r="BL54" s="7424"/>
      <c r="BM54" s="7424"/>
      <c r="BN54" s="7424"/>
      <c r="BO54" s="7424"/>
      <c r="BP54" s="7424"/>
      <c r="BQ54" s="7424"/>
      <c r="BR54" s="2016"/>
      <c r="BS54" s="2016"/>
      <c r="BU54" s="1481"/>
      <c r="BV54" s="1481" t="str">
        <f>IF(T54="","",T54)</f>
        <v>Добавить источник для дифференциации</v>
      </c>
      <c r="BW54" s="1481"/>
      <c r="BX54" s="1481"/>
      <c r="BY54" s="1210">
        <v>1</v>
      </c>
    </row>
    <row s="61695" customFormat="1" customHeight="1" ht="1.05">
      <c r="A55" s="2035" t="s">
        <v>224</v>
      </c>
      <c r="B55" s="2035" t="s">
        <v>225</v>
      </c>
      <c r="C55" s="2006"/>
      <c r="D55" s="2006"/>
      <c r="E55" s="2951"/>
      <c r="F55" s="2950"/>
      <c r="G55" s="2006"/>
      <c r="H55" s="2006"/>
      <c r="I55" s="2006"/>
      <c r="J55" s="2006"/>
      <c r="K55" s="2006"/>
      <c r="L55" s="2031"/>
      <c r="M55" s="2013"/>
      <c r="N55" s="2013"/>
      <c r="P55" s="2008"/>
      <c r="Q55" s="2009"/>
      <c r="R55" s="2008"/>
      <c r="S55" s="2014"/>
      <c r="T55" s="2017" t="s">
        <v>172</v>
      </c>
      <c r="U55" s="2016"/>
      <c r="V55" s="2016"/>
      <c r="W55" s="2016"/>
      <c r="X55" s="2016"/>
      <c r="Y55" s="2016"/>
      <c r="Z55" s="2016"/>
      <c r="AA55" s="2016"/>
      <c r="AB55" s="2016"/>
      <c r="AC55" s="2016"/>
      <c r="AD55" s="2016"/>
      <c r="AE55" s="2016"/>
      <c r="AF55" s="2016"/>
      <c r="AG55" s="2016"/>
      <c r="AH55" s="2016"/>
      <c r="AI55" s="2016"/>
      <c r="AJ55" s="2016"/>
      <c r="AK55" s="2016"/>
      <c r="AL55" s="7424"/>
      <c r="AM55" s="7424"/>
      <c r="AN55" s="7424"/>
      <c r="AO55" s="7424"/>
      <c r="AP55" s="7424"/>
      <c r="AQ55" s="7424"/>
      <c r="AR55" s="7424"/>
      <c r="AS55" s="7424"/>
      <c r="AT55" s="7424"/>
      <c r="AU55" s="7424"/>
      <c r="AV55" s="7424"/>
      <c r="AW55" s="7424"/>
      <c r="AX55" s="7424"/>
      <c r="AY55" s="7424"/>
      <c r="AZ55" s="7424"/>
      <c r="BA55" s="7424"/>
      <c r="BB55" s="7424"/>
      <c r="BC55" s="7424"/>
      <c r="BD55" s="7424"/>
      <c r="BE55" s="7424"/>
      <c r="BF55" s="7424"/>
      <c r="BG55" s="7424"/>
      <c r="BH55" s="7424"/>
      <c r="BI55" s="7424"/>
      <c r="BJ55" s="7424"/>
      <c r="BK55" s="7424"/>
      <c r="BL55" s="7424"/>
      <c r="BM55" s="7424"/>
      <c r="BN55" s="7424"/>
      <c r="BO55" s="7424"/>
      <c r="BP55" s="7424"/>
      <c r="BQ55" s="7424"/>
      <c r="BR55" s="2016"/>
      <c r="BS55" s="2016"/>
      <c r="BU55" s="1481"/>
      <c r="BV55" s="1481" t="str">
        <f>IF(T55="","",T55)</f>
        <v>Добавить централизованную систему для дифференциации</v>
      </c>
      <c r="BW55" s="1481"/>
      <c r="BX55" s="1481"/>
      <c r="BY55" s="1210">
        <v>1</v>
      </c>
    </row>
    <row s="61695" customFormat="1" customHeight="1" ht="1.05">
      <c r="A56" s="2035" t="s">
        <v>224</v>
      </c>
      <c r="B56" s="2035"/>
      <c r="C56" s="2035"/>
      <c r="D56" s="2035"/>
      <c r="E56" s="2950"/>
      <c r="F56" s="2035"/>
      <c r="G56" s="2035"/>
      <c r="H56" s="2035"/>
      <c r="I56" s="2035"/>
      <c r="J56" s="2035"/>
      <c r="K56" s="2035"/>
      <c r="L56" s="2038"/>
      <c r="M56" s="2013"/>
      <c r="N56" s="2013"/>
      <c r="O56" s="1210"/>
      <c r="P56" s="1072"/>
      <c r="Q56" s="2036"/>
      <c r="R56" s="1072"/>
      <c r="S56" s="2014"/>
      <c r="T56" s="2017" t="s">
        <v>173</v>
      </c>
      <c r="U56" s="2016"/>
      <c r="V56" s="2016"/>
      <c r="W56" s="2016"/>
      <c r="X56" s="2016"/>
      <c r="Y56" s="2016"/>
      <c r="Z56" s="2016"/>
      <c r="AA56" s="2016"/>
      <c r="AB56" s="2016"/>
      <c r="AC56" s="2016"/>
      <c r="AD56" s="2016"/>
      <c r="AE56" s="2016"/>
      <c r="AF56" s="2016"/>
      <c r="AG56" s="2016"/>
      <c r="AH56" s="2016"/>
      <c r="AI56" s="2016"/>
      <c r="AJ56" s="2016"/>
      <c r="AK56" s="2016"/>
      <c r="AL56" s="7424"/>
      <c r="AM56" s="7424"/>
      <c r="AN56" s="7424"/>
      <c r="AO56" s="7424"/>
      <c r="AP56" s="7424"/>
      <c r="AQ56" s="7424"/>
      <c r="AR56" s="7424"/>
      <c r="AS56" s="7424"/>
      <c r="AT56" s="7424"/>
      <c r="AU56" s="7424"/>
      <c r="AV56" s="7424"/>
      <c r="AW56" s="7424"/>
      <c r="AX56" s="7424"/>
      <c r="AY56" s="7424"/>
      <c r="AZ56" s="7424"/>
      <c r="BA56" s="7424"/>
      <c r="BB56" s="7424"/>
      <c r="BC56" s="7424"/>
      <c r="BD56" s="7424"/>
      <c r="BE56" s="7424"/>
      <c r="BF56" s="7424"/>
      <c r="BG56" s="7424"/>
      <c r="BH56" s="7424"/>
      <c r="BI56" s="7424"/>
      <c r="BJ56" s="7424"/>
      <c r="BK56" s="7424"/>
      <c r="BL56" s="7424"/>
      <c r="BM56" s="7424"/>
      <c r="BN56" s="7424"/>
      <c r="BO56" s="7424"/>
      <c r="BP56" s="7424"/>
      <c r="BQ56" s="7424"/>
      <c r="BR56" s="2016"/>
      <c r="BS56" s="2016"/>
      <c r="BU56" s="1192"/>
      <c r="BV56" s="1192" t="str">
        <f>IF(T56="","",T56)</f>
        <v>Добавить территорию для дифференциации</v>
      </c>
      <c r="BW56" s="1192"/>
      <c r="BX56" s="1192"/>
      <c r="BY56" s="1203">
        <v>1</v>
      </c>
    </row>
    <row s="63225" customFormat="1" customHeight="1" ht="21">
      <c r="A57" s="4416" t="s">
        <v>229</v>
      </c>
      <c r="B57" s="4416"/>
      <c r="C57" s="4416"/>
      <c r="D57" s="4416"/>
      <c r="E57" s="4417" t="s">
        <v>103</v>
      </c>
      <c r="F57" s="4416"/>
      <c r="G57" s="4416"/>
      <c r="H57" s="4416"/>
      <c r="I57" s="4416"/>
      <c r="J57" s="4416"/>
      <c r="K57" s="4416"/>
      <c r="L57" s="4418"/>
      <c r="M57" s="4419"/>
      <c r="N57" s="4419"/>
      <c r="O57" s="4419"/>
      <c r="P57" s="4420"/>
      <c r="Q57" s="4421"/>
      <c r="R57" s="4422"/>
      <c r="S57" s="4423" t="str">
        <f>INDEX(PT_DIFFERENTIATION_NUM_NTAR,MATCH(A57,PT_DIFFERENTIATION_NTAR_ID,0))</f>
        <v>2</v>
      </c>
      <c r="T57" s="4424" t="s">
        <v>131</v>
      </c>
      <c r="U57" s="4425"/>
      <c r="V57" s="4426"/>
      <c r="W57" s="4427"/>
      <c r="X57" s="4427"/>
      <c r="Y57" s="4427"/>
      <c r="Z57" s="4427"/>
      <c r="AA57" s="4427"/>
      <c r="AB57" s="4427"/>
      <c r="AC57" s="4428"/>
      <c r="AD57" s="4426" t="str">
        <f>INDEX(PT_DIFFERENTIATION_NTAR,MATCH(A57,PT_DIFFERENTIATION_NTAR_ID,0))</f>
        <v>Тарифы на теплоноситель, поставляемый потребителям Владивостокского городского округа</v>
      </c>
      <c r="AE57" s="4427"/>
      <c r="AF57" s="4427"/>
      <c r="AG57" s="4427"/>
      <c r="AH57" s="4427"/>
      <c r="AI57" s="4427"/>
      <c r="AJ57" s="4427"/>
      <c r="AK57" s="4427"/>
      <c r="AL57" s="7331"/>
      <c r="AM57" s="7332"/>
      <c r="AN57" s="7332"/>
      <c r="AO57" s="7332"/>
      <c r="AP57" s="7332"/>
      <c r="AQ57" s="7332"/>
      <c r="AR57" s="7332"/>
      <c r="AS57" s="7333"/>
      <c r="AT57" s="7331"/>
      <c r="AU57" s="7332"/>
      <c r="AV57" s="7332"/>
      <c r="AW57" s="7332"/>
      <c r="AX57" s="7332"/>
      <c r="AY57" s="7332"/>
      <c r="AZ57" s="7332"/>
      <c r="BA57" s="7333"/>
      <c r="BB57" s="7331"/>
      <c r="BC57" s="7332"/>
      <c r="BD57" s="7332"/>
      <c r="BE57" s="7332"/>
      <c r="BF57" s="7332"/>
      <c r="BG57" s="7332"/>
      <c r="BH57" s="7332"/>
      <c r="BI57" s="7333"/>
      <c r="BJ57" s="7331"/>
      <c r="BK57" s="7332"/>
      <c r="BL57" s="7332"/>
      <c r="BM57" s="7332"/>
      <c r="BN57" s="7332"/>
      <c r="BO57" s="7332"/>
      <c r="BP57" s="7332"/>
      <c r="BQ57" s="7333"/>
      <c r="BR57" s="4428"/>
      <c r="BS57" s="4429" t="s">
        <v>471</v>
      </c>
      <c r="BT57" s="4430"/>
      <c r="BU57" s="4431"/>
      <c r="BV57" s="4431" t="str">
        <f>IF(T57="","",T57)</f>
        <v>Наименование тарифа</v>
      </c>
      <c r="BW57" s="4431"/>
      <c r="BX57" s="4431"/>
      <c r="BY57" s="4432">
        <v>0</v>
      </c>
    </row>
    <row s="63225" customFormat="1" customHeight="1" ht="21">
      <c r="A58" s="4416"/>
      <c r="B58" s="4416" t="s">
        <v>230</v>
      </c>
      <c r="C58" s="4416"/>
      <c r="D58" s="4416"/>
      <c r="E58" s="4434">
        <v>1</v>
      </c>
      <c r="F58" s="4417">
        <v>1</v>
      </c>
      <c r="G58" s="4416"/>
      <c r="H58" s="4416"/>
      <c r="I58" s="4416"/>
      <c r="J58" s="4416"/>
      <c r="K58" s="4416"/>
      <c r="L58" s="4418"/>
      <c r="M58" s="4419"/>
      <c r="N58" s="4419"/>
      <c r="O58" s="4419"/>
      <c r="P58" s="4435"/>
      <c r="Q58" s="4436"/>
      <c r="R58" s="4437"/>
      <c r="S58" s="4423" t="str">
        <f>INDEX(PT_DIFFERENTIATION_NUM_TER,MATCH(B58,PT_DIFFERENTIATION_TER_ID,0))</f>
        <v>2.1</v>
      </c>
      <c r="T58" s="4438" t="s">
        <v>472</v>
      </c>
      <c r="U58" s="4425"/>
      <c r="V58" s="4426"/>
      <c r="W58" s="4427"/>
      <c r="X58" s="4427"/>
      <c r="Y58" s="4427"/>
      <c r="Z58" s="4427"/>
      <c r="AA58" s="4427"/>
      <c r="AB58" s="4427"/>
      <c r="AC58" s="4428"/>
      <c r="AD58" s="4426" t="str">
        <f>INDEX(PT_DIFFERENTIATION_TER,MATCH(B58,PT_DIFFERENTIATION_TER_ID,0))</f>
        <v>Территория 2</v>
      </c>
      <c r="AE58" s="4427"/>
      <c r="AF58" s="4427"/>
      <c r="AG58" s="4427"/>
      <c r="AH58" s="4427"/>
      <c r="AI58" s="4427"/>
      <c r="AJ58" s="4427"/>
      <c r="AK58" s="4427"/>
      <c r="AL58" s="7331"/>
      <c r="AM58" s="7332"/>
      <c r="AN58" s="7332"/>
      <c r="AO58" s="7332"/>
      <c r="AP58" s="7332"/>
      <c r="AQ58" s="7332"/>
      <c r="AR58" s="7332"/>
      <c r="AS58" s="7333"/>
      <c r="AT58" s="7331"/>
      <c r="AU58" s="7332"/>
      <c r="AV58" s="7332"/>
      <c r="AW58" s="7332"/>
      <c r="AX58" s="7332"/>
      <c r="AY58" s="7332"/>
      <c r="AZ58" s="7332"/>
      <c r="BA58" s="7333"/>
      <c r="BB58" s="7331"/>
      <c r="BC58" s="7332"/>
      <c r="BD58" s="7332"/>
      <c r="BE58" s="7332"/>
      <c r="BF58" s="7332"/>
      <c r="BG58" s="7332"/>
      <c r="BH58" s="7332"/>
      <c r="BI58" s="7333"/>
      <c r="BJ58" s="7331"/>
      <c r="BK58" s="7332"/>
      <c r="BL58" s="7332"/>
      <c r="BM58" s="7332"/>
      <c r="BN58" s="7332"/>
      <c r="BO58" s="7332"/>
      <c r="BP58" s="7332"/>
      <c r="BQ58" s="7333"/>
      <c r="BR58" s="4428"/>
      <c r="BS58" s="4429" t="s">
        <v>473</v>
      </c>
      <c r="BT58" s="4430"/>
      <c r="BU58" s="4431"/>
      <c r="BV58" s="4431" t="str">
        <f>IF(T58="","",T58)</f>
        <v>Территория действия тарифа</v>
      </c>
      <c r="BW58" s="4431"/>
      <c r="BX58" s="4431"/>
      <c r="BY58" s="4432">
        <v>0</v>
      </c>
    </row>
    <row s="63225" customFormat="1" customHeight="1" ht="23.25">
      <c r="A59" s="4416"/>
      <c r="B59" s="4416"/>
      <c r="C59" s="4416" t="s">
        <v>231</v>
      </c>
      <c r="D59" s="4416"/>
      <c r="E59" s="4434">
        <v>1</v>
      </c>
      <c r="F59" s="4434"/>
      <c r="G59" s="4417">
        <v>1</v>
      </c>
      <c r="H59" s="4416"/>
      <c r="I59" s="4416"/>
      <c r="J59" s="4416"/>
      <c r="K59" s="4416"/>
      <c r="L59" s="4418"/>
      <c r="M59" s="4419"/>
      <c r="N59" s="4419"/>
      <c r="O59" s="4419"/>
      <c r="P59" s="4440"/>
      <c r="Q59" s="4436"/>
      <c r="R59" s="4437"/>
      <c r="S59" s="4423" t="str">
        <f>INDEX(PT_DIFFERENTIATION_NUM_CS,MATCH(C59,PT_DIFFERENTIATION_CS_ID,0))</f>
        <v>2.1.1</v>
      </c>
      <c r="T59" s="4441" t="s">
        <v>474</v>
      </c>
      <c r="U59" s="4425"/>
      <c r="V59" s="4426"/>
      <c r="W59" s="4427"/>
      <c r="X59" s="4427"/>
      <c r="Y59" s="4427"/>
      <c r="Z59" s="4427"/>
      <c r="AA59" s="4427"/>
      <c r="AB59" s="4427"/>
      <c r="AC59" s="4428"/>
      <c r="AD59" s="4426" t="str">
        <f>INDEX(PT_DIFFERENTIATION_CS,MATCH(C59,PT_DIFFERENTIATION_CS_ID,0))</f>
        <v>без дифференциации</v>
      </c>
      <c r="AE59" s="4427"/>
      <c r="AF59" s="4427"/>
      <c r="AG59" s="4427"/>
      <c r="AH59" s="4427"/>
      <c r="AI59" s="4427"/>
      <c r="AJ59" s="4427"/>
      <c r="AK59" s="4427"/>
      <c r="AL59" s="7331"/>
      <c r="AM59" s="7332"/>
      <c r="AN59" s="7332"/>
      <c r="AO59" s="7332"/>
      <c r="AP59" s="7332"/>
      <c r="AQ59" s="7332"/>
      <c r="AR59" s="7332"/>
      <c r="AS59" s="7333"/>
      <c r="AT59" s="7331"/>
      <c r="AU59" s="7332"/>
      <c r="AV59" s="7332"/>
      <c r="AW59" s="7332"/>
      <c r="AX59" s="7332"/>
      <c r="AY59" s="7332"/>
      <c r="AZ59" s="7332"/>
      <c r="BA59" s="7333"/>
      <c r="BB59" s="7331"/>
      <c r="BC59" s="7332"/>
      <c r="BD59" s="7332"/>
      <c r="BE59" s="7332"/>
      <c r="BF59" s="7332"/>
      <c r="BG59" s="7332"/>
      <c r="BH59" s="7332"/>
      <c r="BI59" s="7333"/>
      <c r="BJ59" s="7331"/>
      <c r="BK59" s="7332"/>
      <c r="BL59" s="7332"/>
      <c r="BM59" s="7332"/>
      <c r="BN59" s="7332"/>
      <c r="BO59" s="7332"/>
      <c r="BP59" s="7332"/>
      <c r="BQ59" s="7333"/>
      <c r="BR59" s="4428"/>
      <c r="BS59" s="4429" t="s">
        <v>475</v>
      </c>
      <c r="BT59" s="4430"/>
      <c r="BU59" s="4431"/>
      <c r="BV59" s="4431" t="str">
        <f>IF(T59="","",T59)</f>
        <v>Наименование системы теплоснабжения </v>
      </c>
      <c r="BW59" s="4431"/>
      <c r="BX59" s="4431"/>
      <c r="BY59" s="4432">
        <v>0</v>
      </c>
    </row>
    <row s="63225" customFormat="1" customHeight="1" ht="21">
      <c r="A60" s="4416"/>
      <c r="B60" s="4416"/>
      <c r="C60" s="4416"/>
      <c r="D60" s="4416" t="s">
        <v>232</v>
      </c>
      <c r="E60" s="4434">
        <v>1</v>
      </c>
      <c r="F60" s="4434"/>
      <c r="G60" s="4434"/>
      <c r="H60" s="4417">
        <v>1</v>
      </c>
      <c r="I60" s="4416"/>
      <c r="J60" s="4416"/>
      <c r="K60" s="4416"/>
      <c r="L60" s="4418"/>
      <c r="M60" s="4419"/>
      <c r="N60" s="4419"/>
      <c r="O60" s="4419"/>
      <c r="P60" s="4440"/>
      <c r="Q60" s="4436"/>
      <c r="R60" s="4437"/>
      <c r="S60" s="4423" t="str">
        <f>INDEX(PT_DIFFERENTIATION_NUM_IST_TE,MATCH(D60,PT_DIFFERENTIATION_IST_TE_ID,0))</f>
        <v>2.1.1.1</v>
      </c>
      <c r="T60" s="4443" t="s">
        <v>476</v>
      </c>
      <c r="U60" s="4425"/>
      <c r="V60" s="4426"/>
      <c r="W60" s="4427"/>
      <c r="X60" s="4427"/>
      <c r="Y60" s="4427"/>
      <c r="Z60" s="4427"/>
      <c r="AA60" s="4427"/>
      <c r="AB60" s="4427"/>
      <c r="AC60" s="4428"/>
      <c r="AD60" s="4426" t="str">
        <f>INDEX(PT_DIFFERENTIATION_IST_TE,MATCH(D60,PT_DIFFERENTIATION_IST_TE_ID,0))</f>
        <v>без дифференциации</v>
      </c>
      <c r="AE60" s="4427"/>
      <c r="AF60" s="4427"/>
      <c r="AG60" s="4427"/>
      <c r="AH60" s="4427"/>
      <c r="AI60" s="4427"/>
      <c r="AJ60" s="4427"/>
      <c r="AK60" s="4427"/>
      <c r="AL60" s="7331"/>
      <c r="AM60" s="7332"/>
      <c r="AN60" s="7332"/>
      <c r="AO60" s="7332"/>
      <c r="AP60" s="7332"/>
      <c r="AQ60" s="7332"/>
      <c r="AR60" s="7332"/>
      <c r="AS60" s="7333"/>
      <c r="AT60" s="7331"/>
      <c r="AU60" s="7332"/>
      <c r="AV60" s="7332"/>
      <c r="AW60" s="7332"/>
      <c r="AX60" s="7332"/>
      <c r="AY60" s="7332"/>
      <c r="AZ60" s="7332"/>
      <c r="BA60" s="7333"/>
      <c r="BB60" s="7331"/>
      <c r="BC60" s="7332"/>
      <c r="BD60" s="7332"/>
      <c r="BE60" s="7332"/>
      <c r="BF60" s="7332"/>
      <c r="BG60" s="7332"/>
      <c r="BH60" s="7332"/>
      <c r="BI60" s="7333"/>
      <c r="BJ60" s="7331"/>
      <c r="BK60" s="7332"/>
      <c r="BL60" s="7332"/>
      <c r="BM60" s="7332"/>
      <c r="BN60" s="7332"/>
      <c r="BO60" s="7332"/>
      <c r="BP60" s="7332"/>
      <c r="BQ60" s="7333"/>
      <c r="BR60" s="4428"/>
      <c r="BS60" s="4429" t="s">
        <v>477</v>
      </c>
      <c r="BT60" s="4430"/>
      <c r="BU60" s="4431"/>
      <c r="BV60" s="4431" t="str">
        <f>IF(T60="","",T60)</f>
        <v>Источник тепловой энергии  </v>
      </c>
      <c r="BW60" s="4431"/>
      <c r="BX60" s="4431"/>
      <c r="BY60" s="4432">
        <v>0</v>
      </c>
    </row>
    <row s="63225" customFormat="1" customHeight="1" ht="14.25">
      <c r="A61" s="4416"/>
      <c r="B61" s="4416"/>
      <c r="C61" s="4416"/>
      <c r="D61" s="4416"/>
      <c r="E61" s="4434">
        <v>1</v>
      </c>
      <c r="F61" s="4434"/>
      <c r="G61" s="4434"/>
      <c r="H61" s="4434"/>
      <c r="I61" s="4445" t="str">
        <f>S60&amp;".1"</f>
        <v>2.1.1.1.1</v>
      </c>
      <c r="J61" s="4416"/>
      <c r="K61" s="4416"/>
      <c r="L61" s="4418" t="s">
        <v>478</v>
      </c>
      <c r="M61" s="4446"/>
      <c r="N61" s="4447"/>
      <c r="O61" s="4447"/>
      <c r="P61" s="4448">
        <v>1</v>
      </c>
      <c r="Q61" s="4448"/>
      <c r="R61" s="4449"/>
      <c r="S61" s="4450"/>
      <c r="T61" s="4451"/>
      <c r="U61" s="4452"/>
      <c r="V61" s="4453"/>
      <c r="W61" s="4454"/>
      <c r="X61" s="4454"/>
      <c r="Y61" s="4454"/>
      <c r="Z61" s="4454"/>
      <c r="AA61" s="4454"/>
      <c r="AB61" s="4454"/>
      <c r="AC61" s="4455"/>
      <c r="AD61" s="4453"/>
      <c r="AE61" s="4454"/>
      <c r="AF61" s="4454"/>
      <c r="AG61" s="4454"/>
      <c r="AH61" s="4454"/>
      <c r="AI61" s="4454"/>
      <c r="AJ61" s="4454"/>
      <c r="AK61" s="4454"/>
      <c r="AL61" s="7340"/>
      <c r="AM61" s="7341"/>
      <c r="AN61" s="7341"/>
      <c r="AO61" s="7341"/>
      <c r="AP61" s="7341"/>
      <c r="AQ61" s="7341"/>
      <c r="AR61" s="7341"/>
      <c r="AS61" s="7342"/>
      <c r="AT61" s="7340"/>
      <c r="AU61" s="7341"/>
      <c r="AV61" s="7341"/>
      <c r="AW61" s="7341"/>
      <c r="AX61" s="7341"/>
      <c r="AY61" s="7341"/>
      <c r="AZ61" s="7341"/>
      <c r="BA61" s="7342"/>
      <c r="BB61" s="7340"/>
      <c r="BC61" s="7341"/>
      <c r="BD61" s="7341"/>
      <c r="BE61" s="7341"/>
      <c r="BF61" s="7341"/>
      <c r="BG61" s="7341"/>
      <c r="BH61" s="7341"/>
      <c r="BI61" s="7342"/>
      <c r="BJ61" s="7340"/>
      <c r="BK61" s="7341"/>
      <c r="BL61" s="7341"/>
      <c r="BM61" s="7341"/>
      <c r="BN61" s="7341"/>
      <c r="BO61" s="7341"/>
      <c r="BP61" s="7341"/>
      <c r="BQ61" s="7342"/>
      <c r="BR61" s="4455"/>
      <c r="BS61" s="4456"/>
      <c r="BT61" s="4430"/>
      <c r="BU61" s="4431"/>
      <c r="BV61" s="4431" t="str">
        <f>IF(T61="","",T61)</f>
        <v/>
      </c>
      <c r="BW61" s="4431"/>
      <c r="BX61" s="4431"/>
      <c r="BY61" s="4432">
        <v>0</v>
      </c>
    </row>
    <row s="63225" customFormat="1" customHeight="1" ht="21">
      <c r="A62" s="4416"/>
      <c r="B62" s="4416"/>
      <c r="C62" s="4416"/>
      <c r="D62" s="4416"/>
      <c r="E62" s="4434">
        <v>1</v>
      </c>
      <c r="F62" s="4434"/>
      <c r="G62" s="4434"/>
      <c r="H62" s="4434"/>
      <c r="I62" s="4458"/>
      <c r="J62" s="4445" t="str">
        <f>I61&amp;".1"</f>
        <v>2.1.1.1.1.1</v>
      </c>
      <c r="K62" s="4416"/>
      <c r="L62" s="4418" t="s">
        <v>481</v>
      </c>
      <c r="M62" s="4446"/>
      <c r="N62" s="4446"/>
      <c r="O62" s="4447"/>
      <c r="P62" s="4448"/>
      <c r="Q62" s="4448">
        <v>1</v>
      </c>
      <c r="R62" s="4459"/>
      <c r="S62" s="4423" t="str">
        <f>$J62</f>
        <v>2.1.1.1.1.1</v>
      </c>
      <c r="T62" s="4460" t="s">
        <v>482</v>
      </c>
      <c r="U62" s="4425"/>
      <c r="V62" s="4461"/>
      <c r="W62" s="4462"/>
      <c r="X62" s="4462"/>
      <c r="Y62" s="4462"/>
      <c r="Z62" s="4462"/>
      <c r="AA62" s="4462"/>
      <c r="AB62" s="4462"/>
      <c r="AC62" s="4463"/>
      <c r="AD62" s="4461" t="s">
        <v>521</v>
      </c>
      <c r="AE62" s="4462"/>
      <c r="AF62" s="4462"/>
      <c r="AG62" s="4462"/>
      <c r="AH62" s="4462"/>
      <c r="AI62" s="4462"/>
      <c r="AJ62" s="4462"/>
      <c r="AK62" s="4462"/>
      <c r="AL62" s="7344"/>
      <c r="AM62" s="7345"/>
      <c r="AN62" s="7345"/>
      <c r="AO62" s="7345"/>
      <c r="AP62" s="7345"/>
      <c r="AQ62" s="7345"/>
      <c r="AR62" s="7345"/>
      <c r="AS62" s="7346"/>
      <c r="AT62" s="7344"/>
      <c r="AU62" s="7345"/>
      <c r="AV62" s="7345"/>
      <c r="AW62" s="7345"/>
      <c r="AX62" s="7345"/>
      <c r="AY62" s="7345"/>
      <c r="AZ62" s="7345"/>
      <c r="BA62" s="7346"/>
      <c r="BB62" s="7344"/>
      <c r="BC62" s="7345"/>
      <c r="BD62" s="7345"/>
      <c r="BE62" s="7345"/>
      <c r="BF62" s="7345"/>
      <c r="BG62" s="7345"/>
      <c r="BH62" s="7345"/>
      <c r="BI62" s="7346"/>
      <c r="BJ62" s="7344"/>
      <c r="BK62" s="7345"/>
      <c r="BL62" s="7345"/>
      <c r="BM62" s="7345"/>
      <c r="BN62" s="7345"/>
      <c r="BO62" s="7345"/>
      <c r="BP62" s="7345"/>
      <c r="BQ62" s="7346"/>
      <c r="BR62" s="4463"/>
      <c r="BS62" s="4429" t="s">
        <v>483</v>
      </c>
      <c r="BT62" s="4430"/>
      <c r="BU62" s="4431"/>
      <c r="BV62" s="4431" t="str">
        <f>IF(T62="","",T62)</f>
        <v>Группа потребителей</v>
      </c>
      <c r="BW62" s="4431"/>
      <c r="BX62" s="4431"/>
      <c r="BY62" s="4432">
        <v>0</v>
      </c>
    </row>
    <row s="63225" customFormat="1" customHeight="1" ht="21">
      <c r="A63" s="4416"/>
      <c r="B63" s="4416"/>
      <c r="C63" s="4416"/>
      <c r="D63" s="4416"/>
      <c r="E63" s="4434">
        <v>1</v>
      </c>
      <c r="F63" s="4434"/>
      <c r="G63" s="4434"/>
      <c r="H63" s="4434"/>
      <c r="I63" s="4458"/>
      <c r="J63" s="4458"/>
      <c r="K63" s="4445" t="str">
        <f>J62&amp;".1"</f>
        <v>2.1.1.1.1.1.1</v>
      </c>
      <c r="L63" s="4418" t="s">
        <v>484</v>
      </c>
      <c r="M63" s="4446"/>
      <c r="N63" s="4446"/>
      <c r="O63" s="4446"/>
      <c r="P63" s="4448"/>
      <c r="Q63" s="4448"/>
      <c r="R63" s="4459">
        <v>1</v>
      </c>
      <c r="S63" s="4423" t="str">
        <f>$K63</f>
        <v>2.1.1.1.1.1.1</v>
      </c>
      <c r="T63" s="4465" t="s">
        <v>522</v>
      </c>
      <c r="U63" s="4425"/>
      <c r="V63" s="4466"/>
      <c r="W63" s="4467"/>
      <c r="X63" s="4466"/>
      <c r="Y63" s="4468"/>
      <c r="Z63" s="4469"/>
      <c r="AA63" s="3767" t="s">
        <v>67</v>
      </c>
      <c r="AB63" s="4469"/>
      <c r="AC63" s="3767" t="s">
        <v>67</v>
      </c>
      <c r="AD63" s="4466">
        <v>53.76</v>
      </c>
      <c r="AE63" s="4467"/>
      <c r="AF63" s="4466"/>
      <c r="AG63" s="4468"/>
      <c r="AH63" s="7350">
        <v>45292</v>
      </c>
      <c r="AI63" s="3767" t="s">
        <v>67</v>
      </c>
      <c r="AJ63" s="7350">
        <v>45657</v>
      </c>
      <c r="AK63" s="3767" t="s">
        <v>67</v>
      </c>
      <c r="AL63" s="7347">
        <v>47.14</v>
      </c>
      <c r="AM63" s="7348"/>
      <c r="AN63" s="7347"/>
      <c r="AO63" s="7349"/>
      <c r="AP63" s="7350">
        <v>45658</v>
      </c>
      <c r="AQ63" s="7351" t="s">
        <v>67</v>
      </c>
      <c r="AR63" s="7350">
        <v>46022</v>
      </c>
      <c r="AS63" s="7351" t="s">
        <v>67</v>
      </c>
      <c r="AT63" s="7347">
        <v>51.91</v>
      </c>
      <c r="AU63" s="7348"/>
      <c r="AV63" s="7347"/>
      <c r="AW63" s="7349"/>
      <c r="AX63" s="7350">
        <v>46023</v>
      </c>
      <c r="AY63" s="7351" t="s">
        <v>67</v>
      </c>
      <c r="AZ63" s="7350">
        <v>46387</v>
      </c>
      <c r="BA63" s="7351" t="s">
        <v>67</v>
      </c>
      <c r="BB63" s="7347">
        <v>50.96</v>
      </c>
      <c r="BC63" s="7348"/>
      <c r="BD63" s="7347"/>
      <c r="BE63" s="7349"/>
      <c r="BF63" s="7350">
        <v>46388</v>
      </c>
      <c r="BG63" s="7351" t="s">
        <v>67</v>
      </c>
      <c r="BH63" s="7350">
        <v>46752</v>
      </c>
      <c r="BI63" s="7351" t="s">
        <v>67</v>
      </c>
      <c r="BJ63" s="7347">
        <v>52.35</v>
      </c>
      <c r="BK63" s="7348"/>
      <c r="BL63" s="7347"/>
      <c r="BM63" s="7349"/>
      <c r="BN63" s="7350">
        <v>46753</v>
      </c>
      <c r="BO63" s="7351" t="s">
        <v>67</v>
      </c>
      <c r="BP63" s="7350">
        <v>47118</v>
      </c>
      <c r="BQ63" s="7351" t="s">
        <v>67</v>
      </c>
      <c r="BR63" s="4467"/>
      <c r="BS63" s="4470" t="s">
        <v>485</v>
      </c>
      <c r="BT63" s="4430">
        <f>STRCHECKDATE(V64:BR64)</f>
      </c>
      <c r="BU63" s="4431"/>
      <c r="BV63" s="4431" t="str">
        <f>IF(T63="","",T63)</f>
        <v>вода</v>
      </c>
      <c r="BW63" s="4431"/>
      <c r="BX63" s="4431"/>
      <c r="BY63" s="4432">
        <v>0</v>
      </c>
    </row>
    <row s="63225" customFormat="1" customHeight="1" ht="0.75">
      <c r="A64" s="4416"/>
      <c r="B64" s="4416"/>
      <c r="C64" s="4416"/>
      <c r="D64" s="4416"/>
      <c r="E64" s="4434">
        <v>1</v>
      </c>
      <c r="F64" s="4434"/>
      <c r="G64" s="4434"/>
      <c r="H64" s="4434"/>
      <c r="I64" s="4458"/>
      <c r="J64" s="4458"/>
      <c r="K64" s="4445"/>
      <c r="L64" s="4418"/>
      <c r="M64" s="4446"/>
      <c r="N64" s="4446"/>
      <c r="O64" s="4446"/>
      <c r="P64" s="4448"/>
      <c r="Q64" s="4448"/>
      <c r="R64" s="4459"/>
      <c r="S64" s="4472"/>
      <c r="T64" s="4425"/>
      <c r="U64" s="4425"/>
      <c r="V64" s="4467"/>
      <c r="W64" s="4467"/>
      <c r="X64" s="4467"/>
      <c r="Y64" s="4473" t="str">
        <f>Z63&amp;"-"&amp;AB63</f>
        <v>-</v>
      </c>
      <c r="Z64" s="4474"/>
      <c r="AA64" s="3767"/>
      <c r="AB64" s="4474"/>
      <c r="AC64" s="3767"/>
      <c r="AD64" s="4467"/>
      <c r="AE64" s="4467"/>
      <c r="AF64" s="4467"/>
      <c r="AG64" s="4473" t="str">
        <f>AH63&amp;"-"&amp;AJ63</f>
        <v>45292-45657</v>
      </c>
      <c r="AH64" s="4474"/>
      <c r="AI64" s="3767"/>
      <c r="AJ64" s="4474"/>
      <c r="AK64" s="3767"/>
      <c r="AL64" s="7348"/>
      <c r="AM64" s="7348"/>
      <c r="AN64" s="7348"/>
      <c r="AO64" s="7352" t="str">
        <f>AP63&amp;"-"&amp;AR63</f>
        <v>45658-46022</v>
      </c>
      <c r="AP64" s="7353"/>
      <c r="AQ64" s="7351"/>
      <c r="AR64" s="7353"/>
      <c r="AS64" s="7351"/>
      <c r="AT64" s="7348"/>
      <c r="AU64" s="7348"/>
      <c r="AV64" s="7348"/>
      <c r="AW64" s="7352" t="str">
        <f>AX63&amp;"-"&amp;AZ63</f>
        <v>46023-46387</v>
      </c>
      <c r="AX64" s="7353"/>
      <c r="AY64" s="7351"/>
      <c r="AZ64" s="7353"/>
      <c r="BA64" s="7351"/>
      <c r="BB64" s="7348"/>
      <c r="BC64" s="7348"/>
      <c r="BD64" s="7348"/>
      <c r="BE64" s="7352" t="str">
        <f>BF63&amp;"-"&amp;BH63</f>
        <v>46388-46752</v>
      </c>
      <c r="BF64" s="7353"/>
      <c r="BG64" s="7351"/>
      <c r="BH64" s="7353"/>
      <c r="BI64" s="7351"/>
      <c r="BJ64" s="7348"/>
      <c r="BK64" s="7348"/>
      <c r="BL64" s="7348"/>
      <c r="BM64" s="7352" t="str">
        <f>BN63&amp;"-"&amp;BP63</f>
        <v>46753-47118</v>
      </c>
      <c r="BN64" s="7353"/>
      <c r="BO64" s="7351"/>
      <c r="BP64" s="7353"/>
      <c r="BQ64" s="7351"/>
      <c r="BR64" s="4467"/>
      <c r="BS64" s="4475"/>
      <c r="BT64" s="4430"/>
      <c r="BU64" s="4431"/>
      <c r="BV64" s="4431" t="str">
        <f>IF(T64="","",T64)</f>
        <v/>
      </c>
      <c r="BW64" s="4431"/>
      <c r="BX64" s="4431"/>
      <c r="BY64" s="4432">
        <v>0</v>
      </c>
    </row>
    <row s="63225" customFormat="1" customHeight="1" ht="15">
      <c r="A65" s="4416"/>
      <c r="B65" s="4416"/>
      <c r="C65" s="4416"/>
      <c r="D65" s="4416"/>
      <c r="E65" s="4434">
        <v>1</v>
      </c>
      <c r="F65" s="4434"/>
      <c r="G65" s="4434"/>
      <c r="H65" s="4434"/>
      <c r="I65" s="4458"/>
      <c r="J65" s="4445"/>
      <c r="K65" s="4416"/>
      <c r="L65" s="4418"/>
      <c r="M65" s="4446"/>
      <c r="N65" s="4446"/>
      <c r="O65" s="4447"/>
      <c r="P65" s="4448"/>
      <c r="Q65" s="4448"/>
      <c r="R65" s="4449"/>
      <c r="S65" s="4477"/>
      <c r="T65" s="4478" t="s">
        <v>486</v>
      </c>
      <c r="U65" s="4479"/>
      <c r="V65" s="4480"/>
      <c r="W65" s="4481"/>
      <c r="X65" s="4482"/>
      <c r="Y65" s="4483"/>
      <c r="Z65" s="4484"/>
      <c r="AA65" s="4485"/>
      <c r="AB65" s="4486"/>
      <c r="AC65" s="4487"/>
      <c r="AD65" s="4488"/>
      <c r="AE65" s="4489"/>
      <c r="AF65" s="4490"/>
      <c r="AG65" s="4491"/>
      <c r="AH65" s="4492"/>
      <c r="AI65" s="4493"/>
      <c r="AJ65" s="4494"/>
      <c r="AK65" s="4495"/>
      <c r="AL65" s="7600"/>
      <c r="AM65" s="7601"/>
      <c r="AN65" s="7602"/>
      <c r="AO65" s="7603"/>
      <c r="AP65" s="7604"/>
      <c r="AQ65" s="7605"/>
      <c r="AR65" s="7606"/>
      <c r="AS65" s="7607"/>
      <c r="AT65" s="7608"/>
      <c r="AU65" s="7609"/>
      <c r="AV65" s="7610"/>
      <c r="AW65" s="7611"/>
      <c r="AX65" s="7612"/>
      <c r="AY65" s="7613"/>
      <c r="AZ65" s="7614"/>
      <c r="BA65" s="7615"/>
      <c r="BB65" s="7616"/>
      <c r="BC65" s="7617"/>
      <c r="BD65" s="7618"/>
      <c r="BE65" s="7619"/>
      <c r="BF65" s="7620"/>
      <c r="BG65" s="7621"/>
      <c r="BH65" s="7622"/>
      <c r="BI65" s="7623"/>
      <c r="BJ65" s="7624"/>
      <c r="BK65" s="7625"/>
      <c r="BL65" s="7626"/>
      <c r="BM65" s="7627"/>
      <c r="BN65" s="7628"/>
      <c r="BO65" s="7629"/>
      <c r="BP65" s="7630"/>
      <c r="BQ65" s="7631"/>
      <c r="BR65" s="4496"/>
      <c r="BS65" s="4497"/>
      <c r="BT65" s="4430"/>
      <c r="BU65" s="4431"/>
      <c r="BV65" s="4431" t="str">
        <f>IF(T65="","",T65)</f>
        <v>Добавить вид теплоносителя (параметры теплоносителя)</v>
      </c>
      <c r="BW65" s="4431"/>
      <c r="BX65" s="4431"/>
      <c r="BY65" s="4432">
        <v>0</v>
      </c>
    </row>
    <row s="63225" customFormat="1" customHeight="1" ht="15">
      <c r="A66" s="4416"/>
      <c r="B66" s="4416"/>
      <c r="C66" s="4416"/>
      <c r="D66" s="4416"/>
      <c r="E66" s="4434">
        <v>1</v>
      </c>
      <c r="F66" s="4434"/>
      <c r="G66" s="4434"/>
      <c r="H66" s="4434"/>
      <c r="I66" s="4445"/>
      <c r="J66" s="4416"/>
      <c r="K66" s="4416"/>
      <c r="L66" s="4418"/>
      <c r="M66" s="4446"/>
      <c r="N66" s="4447"/>
      <c r="O66" s="4447"/>
      <c r="P66" s="4448"/>
      <c r="Q66" s="4448"/>
      <c r="R66" s="4449"/>
      <c r="S66" s="4499"/>
      <c r="T66" s="4500" t="s">
        <v>487</v>
      </c>
      <c r="U66" s="4501"/>
      <c r="V66" s="4502"/>
      <c r="W66" s="4503"/>
      <c r="X66" s="4504"/>
      <c r="Y66" s="4505"/>
      <c r="Z66" s="4506"/>
      <c r="AA66" s="4507"/>
      <c r="AB66" s="4508"/>
      <c r="AC66" s="4509"/>
      <c r="AD66" s="4510"/>
      <c r="AE66" s="4511"/>
      <c r="AF66" s="4512"/>
      <c r="AG66" s="4513"/>
      <c r="AH66" s="4514"/>
      <c r="AI66" s="4515"/>
      <c r="AJ66" s="4516"/>
      <c r="AK66" s="4517"/>
      <c r="AL66" s="7654"/>
      <c r="AM66" s="7655"/>
      <c r="AN66" s="7656"/>
      <c r="AO66" s="7657"/>
      <c r="AP66" s="7658"/>
      <c r="AQ66" s="7659"/>
      <c r="AR66" s="7660"/>
      <c r="AS66" s="7661"/>
      <c r="AT66" s="7662"/>
      <c r="AU66" s="7663"/>
      <c r="AV66" s="7664"/>
      <c r="AW66" s="7665"/>
      <c r="AX66" s="7666"/>
      <c r="AY66" s="7667"/>
      <c r="AZ66" s="7668"/>
      <c r="BA66" s="7669"/>
      <c r="BB66" s="7670"/>
      <c r="BC66" s="7671"/>
      <c r="BD66" s="7672"/>
      <c r="BE66" s="7673"/>
      <c r="BF66" s="7674"/>
      <c r="BG66" s="7675"/>
      <c r="BH66" s="7676"/>
      <c r="BI66" s="7677"/>
      <c r="BJ66" s="7678"/>
      <c r="BK66" s="7679"/>
      <c r="BL66" s="7680"/>
      <c r="BM66" s="7681"/>
      <c r="BN66" s="7682"/>
      <c r="BO66" s="7683"/>
      <c r="BP66" s="7684"/>
      <c r="BQ66" s="7685"/>
      <c r="BR66" s="4518"/>
      <c r="BS66" s="4519"/>
      <c r="BT66" s="4430"/>
      <c r="BU66" s="4431"/>
      <c r="BV66" s="4431" t="str">
        <f>IF(T66="","",T66)</f>
        <v>Добавить группу потребителей</v>
      </c>
      <c r="BW66" s="4431"/>
      <c r="BX66" s="4431"/>
      <c r="BY66" s="4432">
        <v>0</v>
      </c>
    </row>
    <row s="63225" customFormat="1" customHeight="1" ht="14.25">
      <c r="A67" s="4416"/>
      <c r="B67" s="4416"/>
      <c r="C67" s="4416"/>
      <c r="D67" s="4416"/>
      <c r="E67" s="4434">
        <v>1</v>
      </c>
      <c r="F67" s="4434"/>
      <c r="G67" s="4434"/>
      <c r="H67" s="4417"/>
      <c r="I67" s="4416"/>
      <c r="J67" s="4416"/>
      <c r="K67" s="4416"/>
      <c r="L67" s="4418"/>
      <c r="M67" s="4419"/>
      <c r="N67" s="4419"/>
      <c r="O67" s="4446"/>
      <c r="P67" s="4421"/>
      <c r="Q67" s="4521"/>
      <c r="R67" s="4422"/>
      <c r="S67" s="4522"/>
      <c r="T67" s="4523"/>
      <c r="U67" s="4524"/>
      <c r="V67" s="4524"/>
      <c r="W67" s="4524"/>
      <c r="X67" s="4524"/>
      <c r="Y67" s="4524"/>
      <c r="Z67" s="4524"/>
      <c r="AA67" s="4524"/>
      <c r="AB67" s="4524"/>
      <c r="AC67" s="4524"/>
      <c r="AD67" s="4524"/>
      <c r="AE67" s="4524"/>
      <c r="AF67" s="4524"/>
      <c r="AG67" s="4524"/>
      <c r="AH67" s="4524"/>
      <c r="AI67" s="4524"/>
      <c r="AJ67" s="4524"/>
      <c r="AK67" s="4524"/>
      <c r="AL67" s="7421"/>
      <c r="AM67" s="7421"/>
      <c r="AN67" s="7421"/>
      <c r="AO67" s="7421"/>
      <c r="AP67" s="7421"/>
      <c r="AQ67" s="7421"/>
      <c r="AR67" s="7421"/>
      <c r="AS67" s="7421"/>
      <c r="AT67" s="7421"/>
      <c r="AU67" s="7421"/>
      <c r="AV67" s="7421"/>
      <c r="AW67" s="7421"/>
      <c r="AX67" s="7421"/>
      <c r="AY67" s="7421"/>
      <c r="AZ67" s="7421"/>
      <c r="BA67" s="7421"/>
      <c r="BB67" s="7421"/>
      <c r="BC67" s="7421"/>
      <c r="BD67" s="7421"/>
      <c r="BE67" s="7421"/>
      <c r="BF67" s="7421"/>
      <c r="BG67" s="7421"/>
      <c r="BH67" s="7421"/>
      <c r="BI67" s="7421"/>
      <c r="BJ67" s="7421"/>
      <c r="BK67" s="7421"/>
      <c r="BL67" s="7421"/>
      <c r="BM67" s="7421"/>
      <c r="BN67" s="7421"/>
      <c r="BO67" s="7421"/>
      <c r="BP67" s="7421"/>
      <c r="BQ67" s="7421"/>
      <c r="BR67" s="4524"/>
      <c r="BS67" s="4525"/>
      <c r="BT67" s="4430"/>
      <c r="BU67" s="4431"/>
      <c r="BV67" s="4431" t="str">
        <f>IF(T67="","",T67)</f>
        <v/>
      </c>
      <c r="BW67" s="4431"/>
      <c r="BX67" s="4431"/>
      <c r="BY67" s="4432">
        <v>0</v>
      </c>
    </row>
    <row s="61685" customFormat="1" customHeight="1" ht="0.75">
      <c r="A68" s="4527"/>
      <c r="B68" s="4527"/>
      <c r="C68" s="4527"/>
      <c r="D68" s="4527"/>
      <c r="E68" s="4434">
        <v>1</v>
      </c>
      <c r="F68" s="4434"/>
      <c r="G68" s="4417"/>
      <c r="H68" s="4527"/>
      <c r="I68" s="4527"/>
      <c r="J68" s="4527"/>
      <c r="K68" s="4527"/>
      <c r="L68" s="4528"/>
      <c r="M68" s="4529"/>
      <c r="N68" s="4529"/>
      <c r="O68" s="4430"/>
      <c r="P68" s="4530"/>
      <c r="Q68" s="4531"/>
      <c r="R68" s="4530"/>
      <c r="S68" s="4532"/>
      <c r="T68" s="4533" t="s">
        <v>171</v>
      </c>
      <c r="U68" s="4534"/>
      <c r="V68" s="4534"/>
      <c r="W68" s="4534"/>
      <c r="X68" s="4534"/>
      <c r="Y68" s="4534"/>
      <c r="Z68" s="4534"/>
      <c r="AA68" s="4534"/>
      <c r="AB68" s="4534"/>
      <c r="AC68" s="4534"/>
      <c r="AD68" s="4534"/>
      <c r="AE68" s="4534"/>
      <c r="AF68" s="4534"/>
      <c r="AG68" s="4534"/>
      <c r="AH68" s="4534"/>
      <c r="AI68" s="4534"/>
      <c r="AJ68" s="4534"/>
      <c r="AK68" s="4534"/>
      <c r="AL68" s="7423"/>
      <c r="AM68" s="7423"/>
      <c r="AN68" s="7423"/>
      <c r="AO68" s="7423"/>
      <c r="AP68" s="7423"/>
      <c r="AQ68" s="7423"/>
      <c r="AR68" s="7423"/>
      <c r="AS68" s="7423"/>
      <c r="AT68" s="7423"/>
      <c r="AU68" s="7423"/>
      <c r="AV68" s="7423"/>
      <c r="AW68" s="7423"/>
      <c r="AX68" s="7423"/>
      <c r="AY68" s="7423"/>
      <c r="AZ68" s="7423"/>
      <c r="BA68" s="7423"/>
      <c r="BB68" s="7423"/>
      <c r="BC68" s="7423"/>
      <c r="BD68" s="7423"/>
      <c r="BE68" s="7423"/>
      <c r="BF68" s="7423"/>
      <c r="BG68" s="7423"/>
      <c r="BH68" s="7423"/>
      <c r="BI68" s="7423"/>
      <c r="BJ68" s="7423"/>
      <c r="BK68" s="7423"/>
      <c r="BL68" s="7423"/>
      <c r="BM68" s="7423"/>
      <c r="BN68" s="7423"/>
      <c r="BO68" s="7423"/>
      <c r="BP68" s="7423"/>
      <c r="BQ68" s="7423"/>
      <c r="BR68" s="4534"/>
      <c r="BS68" s="4534"/>
      <c r="BT68" s="4430"/>
      <c r="BU68" s="4431"/>
      <c r="BV68" s="4431" t="str">
        <f>IF(T68="","",T68)</f>
        <v>Добавить источник для дифференциации</v>
      </c>
      <c r="BW68" s="4431"/>
      <c r="BX68" s="4431"/>
      <c r="BY68" s="4430">
        <v>0</v>
      </c>
    </row>
    <row s="61685" customFormat="1" customHeight="1" ht="0.75">
      <c r="A69" s="4527"/>
      <c r="B69" s="4527"/>
      <c r="C69" s="4527"/>
      <c r="D69" s="4527"/>
      <c r="E69" s="4434">
        <v>1</v>
      </c>
      <c r="F69" s="4417"/>
      <c r="G69" s="4527"/>
      <c r="H69" s="4527"/>
      <c r="I69" s="4527"/>
      <c r="J69" s="4527"/>
      <c r="K69" s="4527"/>
      <c r="L69" s="4528"/>
      <c r="M69" s="4536"/>
      <c r="N69" s="4536"/>
      <c r="O69" s="4430"/>
      <c r="P69" s="4530"/>
      <c r="Q69" s="4531"/>
      <c r="R69" s="4530"/>
      <c r="S69" s="4537"/>
      <c r="T69" s="4538" t="s">
        <v>172</v>
      </c>
      <c r="U69" s="4539"/>
      <c r="V69" s="4539"/>
      <c r="W69" s="4539"/>
      <c r="X69" s="4539"/>
      <c r="Y69" s="4539"/>
      <c r="Z69" s="4539"/>
      <c r="AA69" s="4539"/>
      <c r="AB69" s="4539"/>
      <c r="AC69" s="4539"/>
      <c r="AD69" s="4539"/>
      <c r="AE69" s="4539"/>
      <c r="AF69" s="4539"/>
      <c r="AG69" s="4539"/>
      <c r="AH69" s="4539"/>
      <c r="AI69" s="4539"/>
      <c r="AJ69" s="4539"/>
      <c r="AK69" s="4539"/>
      <c r="AL69" s="7424"/>
      <c r="AM69" s="7424"/>
      <c r="AN69" s="7424"/>
      <c r="AO69" s="7424"/>
      <c r="AP69" s="7424"/>
      <c r="AQ69" s="7424"/>
      <c r="AR69" s="7424"/>
      <c r="AS69" s="7424"/>
      <c r="AT69" s="7424"/>
      <c r="AU69" s="7424"/>
      <c r="AV69" s="7424"/>
      <c r="AW69" s="7424"/>
      <c r="AX69" s="7424"/>
      <c r="AY69" s="7424"/>
      <c r="AZ69" s="7424"/>
      <c r="BA69" s="7424"/>
      <c r="BB69" s="7424"/>
      <c r="BC69" s="7424"/>
      <c r="BD69" s="7424"/>
      <c r="BE69" s="7424"/>
      <c r="BF69" s="7424"/>
      <c r="BG69" s="7424"/>
      <c r="BH69" s="7424"/>
      <c r="BI69" s="7424"/>
      <c r="BJ69" s="7424"/>
      <c r="BK69" s="7424"/>
      <c r="BL69" s="7424"/>
      <c r="BM69" s="7424"/>
      <c r="BN69" s="7424"/>
      <c r="BO69" s="7424"/>
      <c r="BP69" s="7424"/>
      <c r="BQ69" s="7424"/>
      <c r="BR69" s="4539"/>
      <c r="BS69" s="4539"/>
      <c r="BT69" s="4430"/>
      <c r="BU69" s="4431"/>
      <c r="BV69" s="4431" t="str">
        <f>IF(T69="","",T69)</f>
        <v>Добавить централизованную систему для дифференциации</v>
      </c>
      <c r="BW69" s="4431"/>
      <c r="BX69" s="4431"/>
      <c r="BY69" s="4430">
        <v>0</v>
      </c>
    </row>
    <row s="61685" customFormat="1" customHeight="1" ht="0.75">
      <c r="A70" s="4527"/>
      <c r="B70" s="4527"/>
      <c r="C70" s="4527"/>
      <c r="D70" s="4527"/>
      <c r="E70" s="4417">
        <v>1</v>
      </c>
      <c r="F70" s="4527"/>
      <c r="G70" s="4527"/>
      <c r="H70" s="4527"/>
      <c r="I70" s="4527"/>
      <c r="J70" s="4527"/>
      <c r="K70" s="4527"/>
      <c r="L70" s="4528"/>
      <c r="M70" s="4536"/>
      <c r="N70" s="4536"/>
      <c r="O70" s="4430"/>
      <c r="P70" s="4530"/>
      <c r="Q70" s="4531"/>
      <c r="R70" s="4530"/>
      <c r="S70" s="4537"/>
      <c r="T70" s="4541" t="s">
        <v>173</v>
      </c>
      <c r="U70" s="4539"/>
      <c r="V70" s="4539"/>
      <c r="W70" s="4539"/>
      <c r="X70" s="4539"/>
      <c r="Y70" s="4539"/>
      <c r="Z70" s="4539"/>
      <c r="AA70" s="4539"/>
      <c r="AB70" s="4539"/>
      <c r="AC70" s="4539"/>
      <c r="AD70" s="4539"/>
      <c r="AE70" s="4539"/>
      <c r="AF70" s="4539"/>
      <c r="AG70" s="4539"/>
      <c r="AH70" s="4539"/>
      <c r="AI70" s="4539"/>
      <c r="AJ70" s="4539"/>
      <c r="AK70" s="4539"/>
      <c r="AL70" s="7424"/>
      <c r="AM70" s="7424"/>
      <c r="AN70" s="7424"/>
      <c r="AO70" s="7424"/>
      <c r="AP70" s="7424"/>
      <c r="AQ70" s="7424"/>
      <c r="AR70" s="7424"/>
      <c r="AS70" s="7424"/>
      <c r="AT70" s="7424"/>
      <c r="AU70" s="7424"/>
      <c r="AV70" s="7424"/>
      <c r="AW70" s="7424"/>
      <c r="AX70" s="7424"/>
      <c r="AY70" s="7424"/>
      <c r="AZ70" s="7424"/>
      <c r="BA70" s="7424"/>
      <c r="BB70" s="7424"/>
      <c r="BC70" s="7424"/>
      <c r="BD70" s="7424"/>
      <c r="BE70" s="7424"/>
      <c r="BF70" s="7424"/>
      <c r="BG70" s="7424"/>
      <c r="BH70" s="7424"/>
      <c r="BI70" s="7424"/>
      <c r="BJ70" s="7424"/>
      <c r="BK70" s="7424"/>
      <c r="BL70" s="7424"/>
      <c r="BM70" s="7424"/>
      <c r="BN70" s="7424"/>
      <c r="BO70" s="7424"/>
      <c r="BP70" s="7424"/>
      <c r="BQ70" s="7424"/>
      <c r="BR70" s="4539"/>
      <c r="BS70" s="4539"/>
      <c r="BT70" s="4430"/>
      <c r="BU70" s="4431"/>
      <c r="BV70" s="4431" t="str">
        <f>IF(T70="","",T70)</f>
        <v>Добавить территорию для дифференциации</v>
      </c>
      <c r="BW70" s="4431"/>
      <c r="BX70" s="4431"/>
      <c r="BY70" s="4430">
        <v>0</v>
      </c>
    </row>
    <row s="63225" customFormat="1" customHeight="1" ht="21">
      <c r="A71" s="4416" t="s">
        <v>234</v>
      </c>
      <c r="B71" s="4416"/>
      <c r="C71" s="4416"/>
      <c r="D71" s="4416"/>
      <c r="E71" s="4417" t="s">
        <v>91</v>
      </c>
      <c r="F71" s="4416"/>
      <c r="G71" s="4416"/>
      <c r="H71" s="4416"/>
      <c r="I71" s="4416"/>
      <c r="J71" s="4416"/>
      <c r="K71" s="4416"/>
      <c r="L71" s="4418"/>
      <c r="M71" s="4419"/>
      <c r="N71" s="4419"/>
      <c r="O71" s="4419"/>
      <c r="P71" s="4420"/>
      <c r="Q71" s="4421"/>
      <c r="R71" s="4422"/>
      <c r="S71" s="4423" t="str">
        <f>INDEX(PT_DIFFERENTIATION_NUM_NTAR,MATCH(A71,PT_DIFFERENTIATION_NTAR_ID,0))</f>
        <v>3</v>
      </c>
      <c r="T71" s="4424" t="s">
        <v>131</v>
      </c>
      <c r="U71" s="4425"/>
      <c r="V71" s="4426"/>
      <c r="W71" s="4427"/>
      <c r="X71" s="4427"/>
      <c r="Y71" s="4427"/>
      <c r="Z71" s="4427"/>
      <c r="AA71" s="4427"/>
      <c r="AB71" s="4427"/>
      <c r="AC71" s="4428"/>
      <c r="AD71" s="4426" t="str">
        <f>INDEX(PT_DIFFERENTIATION_NTAR,MATCH(A71,PT_DIFFERENTIATION_NTAR_ID,0))</f>
        <v>Тарифы на теплоноситель, поставляемый потребителям Партизанского городского округа</v>
      </c>
      <c r="AE71" s="4427"/>
      <c r="AF71" s="4427"/>
      <c r="AG71" s="4427"/>
      <c r="AH71" s="4427"/>
      <c r="AI71" s="4427"/>
      <c r="AJ71" s="4427"/>
      <c r="AK71" s="4427"/>
      <c r="AL71" s="7331"/>
      <c r="AM71" s="7332"/>
      <c r="AN71" s="7332"/>
      <c r="AO71" s="7332"/>
      <c r="AP71" s="7332"/>
      <c r="AQ71" s="7332"/>
      <c r="AR71" s="7332"/>
      <c r="AS71" s="7333"/>
      <c r="AT71" s="7331"/>
      <c r="AU71" s="7332"/>
      <c r="AV71" s="7332"/>
      <c r="AW71" s="7332"/>
      <c r="AX71" s="7332"/>
      <c r="AY71" s="7332"/>
      <c r="AZ71" s="7332"/>
      <c r="BA71" s="7333"/>
      <c r="BB71" s="7331"/>
      <c r="BC71" s="7332"/>
      <c r="BD71" s="7332"/>
      <c r="BE71" s="7332"/>
      <c r="BF71" s="7332"/>
      <c r="BG71" s="7332"/>
      <c r="BH71" s="7332"/>
      <c r="BI71" s="7333"/>
      <c r="BJ71" s="7331"/>
      <c r="BK71" s="7332"/>
      <c r="BL71" s="7332"/>
      <c r="BM71" s="7332"/>
      <c r="BN71" s="7332"/>
      <c r="BO71" s="7332"/>
      <c r="BP71" s="7332"/>
      <c r="BQ71" s="7333"/>
      <c r="BR71" s="4428"/>
      <c r="BS71" s="4429" t="s">
        <v>471</v>
      </c>
      <c r="BT71" s="4430"/>
      <c r="BU71" s="4431"/>
      <c r="BV71" s="4431" t="str">
        <f>IF(T71="","",T71)</f>
        <v>Наименование тарифа</v>
      </c>
      <c r="BW71" s="4431"/>
      <c r="BX71" s="4431"/>
      <c r="BY71" s="4432">
        <v>0</v>
      </c>
    </row>
    <row s="63225" customFormat="1" customHeight="1" ht="21">
      <c r="A72" s="4416"/>
      <c r="B72" s="4416" t="s">
        <v>235</v>
      </c>
      <c r="C72" s="4416"/>
      <c r="D72" s="4416"/>
      <c r="E72" s="4434" t="s">
        <v>103</v>
      </c>
      <c r="F72" s="4417">
        <v>1</v>
      </c>
      <c r="G72" s="4416"/>
      <c r="H72" s="4416"/>
      <c r="I72" s="4416"/>
      <c r="J72" s="4416"/>
      <c r="K72" s="4416"/>
      <c r="L72" s="4418"/>
      <c r="M72" s="4419"/>
      <c r="N72" s="4419"/>
      <c r="O72" s="4419"/>
      <c r="P72" s="4435"/>
      <c r="Q72" s="4436"/>
      <c r="R72" s="4437"/>
      <c r="S72" s="4423" t="str">
        <f>INDEX(PT_DIFFERENTIATION_NUM_TER,MATCH(B72,PT_DIFFERENTIATION_TER_ID,0))</f>
        <v>3.1</v>
      </c>
      <c r="T72" s="4438" t="s">
        <v>472</v>
      </c>
      <c r="U72" s="4425"/>
      <c r="V72" s="4426"/>
      <c r="W72" s="4427"/>
      <c r="X72" s="4427"/>
      <c r="Y72" s="4427"/>
      <c r="Z72" s="4427"/>
      <c r="AA72" s="4427"/>
      <c r="AB72" s="4427"/>
      <c r="AC72" s="4428"/>
      <c r="AD72" s="4426" t="str">
        <f>INDEX(PT_DIFFERENTIATION_TER,MATCH(B72,PT_DIFFERENTIATION_TER_ID,0))</f>
        <v>Территория 3</v>
      </c>
      <c r="AE72" s="4427"/>
      <c r="AF72" s="4427"/>
      <c r="AG72" s="4427"/>
      <c r="AH72" s="4427"/>
      <c r="AI72" s="4427"/>
      <c r="AJ72" s="4427"/>
      <c r="AK72" s="4427"/>
      <c r="AL72" s="7331"/>
      <c r="AM72" s="7332"/>
      <c r="AN72" s="7332"/>
      <c r="AO72" s="7332"/>
      <c r="AP72" s="7332"/>
      <c r="AQ72" s="7332"/>
      <c r="AR72" s="7332"/>
      <c r="AS72" s="7333"/>
      <c r="AT72" s="7331"/>
      <c r="AU72" s="7332"/>
      <c r="AV72" s="7332"/>
      <c r="AW72" s="7332"/>
      <c r="AX72" s="7332"/>
      <c r="AY72" s="7332"/>
      <c r="AZ72" s="7332"/>
      <c r="BA72" s="7333"/>
      <c r="BB72" s="7331"/>
      <c r="BC72" s="7332"/>
      <c r="BD72" s="7332"/>
      <c r="BE72" s="7332"/>
      <c r="BF72" s="7332"/>
      <c r="BG72" s="7332"/>
      <c r="BH72" s="7332"/>
      <c r="BI72" s="7333"/>
      <c r="BJ72" s="7331"/>
      <c r="BK72" s="7332"/>
      <c r="BL72" s="7332"/>
      <c r="BM72" s="7332"/>
      <c r="BN72" s="7332"/>
      <c r="BO72" s="7332"/>
      <c r="BP72" s="7332"/>
      <c r="BQ72" s="7333"/>
      <c r="BR72" s="4428"/>
      <c r="BS72" s="4429" t="s">
        <v>473</v>
      </c>
      <c r="BT72" s="4430"/>
      <c r="BU72" s="4431"/>
      <c r="BV72" s="4431" t="str">
        <f>IF(T72="","",T72)</f>
        <v>Территория действия тарифа</v>
      </c>
      <c r="BW72" s="4431"/>
      <c r="BX72" s="4431"/>
      <c r="BY72" s="4432">
        <v>0</v>
      </c>
    </row>
    <row s="63225" customFormat="1" customHeight="1" ht="23.25">
      <c r="A73" s="4416"/>
      <c r="B73" s="4416"/>
      <c r="C73" s="4416" t="s">
        <v>236</v>
      </c>
      <c r="D73" s="4416"/>
      <c r="E73" s="4434" t="s">
        <v>103</v>
      </c>
      <c r="F73" s="4434"/>
      <c r="G73" s="4417">
        <v>1</v>
      </c>
      <c r="H73" s="4416"/>
      <c r="I73" s="4416"/>
      <c r="J73" s="4416"/>
      <c r="K73" s="4416"/>
      <c r="L73" s="4418"/>
      <c r="M73" s="4419"/>
      <c r="N73" s="4419"/>
      <c r="O73" s="4419"/>
      <c r="P73" s="4440"/>
      <c r="Q73" s="4436"/>
      <c r="R73" s="4437"/>
      <c r="S73" s="4423" t="str">
        <f>INDEX(PT_DIFFERENTIATION_NUM_CS,MATCH(C73,PT_DIFFERENTIATION_CS_ID,0))</f>
        <v>3.1.1</v>
      </c>
      <c r="T73" s="4441" t="s">
        <v>474</v>
      </c>
      <c r="U73" s="4425"/>
      <c r="V73" s="4426"/>
      <c r="W73" s="4427"/>
      <c r="X73" s="4427"/>
      <c r="Y73" s="4427"/>
      <c r="Z73" s="4427"/>
      <c r="AA73" s="4427"/>
      <c r="AB73" s="4427"/>
      <c r="AC73" s="4428"/>
      <c r="AD73" s="4426" t="str">
        <f>INDEX(PT_DIFFERENTIATION_CS,MATCH(C73,PT_DIFFERENTIATION_CS_ID,0))</f>
        <v>без дифференциации</v>
      </c>
      <c r="AE73" s="4427"/>
      <c r="AF73" s="4427"/>
      <c r="AG73" s="4427"/>
      <c r="AH73" s="4427"/>
      <c r="AI73" s="4427"/>
      <c r="AJ73" s="4427"/>
      <c r="AK73" s="4427"/>
      <c r="AL73" s="7331"/>
      <c r="AM73" s="7332"/>
      <c r="AN73" s="7332"/>
      <c r="AO73" s="7332"/>
      <c r="AP73" s="7332"/>
      <c r="AQ73" s="7332"/>
      <c r="AR73" s="7332"/>
      <c r="AS73" s="7333"/>
      <c r="AT73" s="7331"/>
      <c r="AU73" s="7332"/>
      <c r="AV73" s="7332"/>
      <c r="AW73" s="7332"/>
      <c r="AX73" s="7332"/>
      <c r="AY73" s="7332"/>
      <c r="AZ73" s="7332"/>
      <c r="BA73" s="7333"/>
      <c r="BB73" s="7331"/>
      <c r="BC73" s="7332"/>
      <c r="BD73" s="7332"/>
      <c r="BE73" s="7332"/>
      <c r="BF73" s="7332"/>
      <c r="BG73" s="7332"/>
      <c r="BH73" s="7332"/>
      <c r="BI73" s="7333"/>
      <c r="BJ73" s="7331"/>
      <c r="BK73" s="7332"/>
      <c r="BL73" s="7332"/>
      <c r="BM73" s="7332"/>
      <c r="BN73" s="7332"/>
      <c r="BO73" s="7332"/>
      <c r="BP73" s="7332"/>
      <c r="BQ73" s="7333"/>
      <c r="BR73" s="4428"/>
      <c r="BS73" s="4429" t="s">
        <v>475</v>
      </c>
      <c r="BT73" s="4430"/>
      <c r="BU73" s="4431"/>
      <c r="BV73" s="4431" t="str">
        <f>IF(T73="","",T73)</f>
        <v>Наименование системы теплоснабжения </v>
      </c>
      <c r="BW73" s="4431"/>
      <c r="BX73" s="4431"/>
      <c r="BY73" s="4432">
        <v>0</v>
      </c>
    </row>
    <row s="63225" customFormat="1" customHeight="1" ht="21">
      <c r="A74" s="4416"/>
      <c r="B74" s="4416"/>
      <c r="C74" s="4416"/>
      <c r="D74" s="4416" t="s">
        <v>237</v>
      </c>
      <c r="E74" s="4434" t="s">
        <v>103</v>
      </c>
      <c r="F74" s="4434"/>
      <c r="G74" s="4434"/>
      <c r="H74" s="4417">
        <v>1</v>
      </c>
      <c r="I74" s="4416"/>
      <c r="J74" s="4416"/>
      <c r="K74" s="4416"/>
      <c r="L74" s="4418"/>
      <c r="M74" s="4419"/>
      <c r="N74" s="4419"/>
      <c r="O74" s="4419"/>
      <c r="P74" s="4440"/>
      <c r="Q74" s="4436"/>
      <c r="R74" s="4437"/>
      <c r="S74" s="4423" t="str">
        <f>INDEX(PT_DIFFERENTIATION_NUM_IST_TE,MATCH(D74,PT_DIFFERENTIATION_IST_TE_ID,0))</f>
        <v>3.1.1.1</v>
      </c>
      <c r="T74" s="4443" t="s">
        <v>476</v>
      </c>
      <c r="U74" s="4425"/>
      <c r="V74" s="4426"/>
      <c r="W74" s="4427"/>
      <c r="X74" s="4427"/>
      <c r="Y74" s="4427"/>
      <c r="Z74" s="4427"/>
      <c r="AA74" s="4427"/>
      <c r="AB74" s="4427"/>
      <c r="AC74" s="4428"/>
      <c r="AD74" s="4426" t="str">
        <f>INDEX(PT_DIFFERENTIATION_IST_TE,MATCH(D74,PT_DIFFERENTIATION_IST_TE_ID,0))</f>
        <v>без дифференциации</v>
      </c>
      <c r="AE74" s="4427"/>
      <c r="AF74" s="4427"/>
      <c r="AG74" s="4427"/>
      <c r="AH74" s="4427"/>
      <c r="AI74" s="4427"/>
      <c r="AJ74" s="4427"/>
      <c r="AK74" s="4427"/>
      <c r="AL74" s="7331"/>
      <c r="AM74" s="7332"/>
      <c r="AN74" s="7332"/>
      <c r="AO74" s="7332"/>
      <c r="AP74" s="7332"/>
      <c r="AQ74" s="7332"/>
      <c r="AR74" s="7332"/>
      <c r="AS74" s="7333"/>
      <c r="AT74" s="7331"/>
      <c r="AU74" s="7332"/>
      <c r="AV74" s="7332"/>
      <c r="AW74" s="7332"/>
      <c r="AX74" s="7332"/>
      <c r="AY74" s="7332"/>
      <c r="AZ74" s="7332"/>
      <c r="BA74" s="7333"/>
      <c r="BB74" s="7331"/>
      <c r="BC74" s="7332"/>
      <c r="BD74" s="7332"/>
      <c r="BE74" s="7332"/>
      <c r="BF74" s="7332"/>
      <c r="BG74" s="7332"/>
      <c r="BH74" s="7332"/>
      <c r="BI74" s="7333"/>
      <c r="BJ74" s="7331"/>
      <c r="BK74" s="7332"/>
      <c r="BL74" s="7332"/>
      <c r="BM74" s="7332"/>
      <c r="BN74" s="7332"/>
      <c r="BO74" s="7332"/>
      <c r="BP74" s="7332"/>
      <c r="BQ74" s="7333"/>
      <c r="BR74" s="4428"/>
      <c r="BS74" s="4429" t="s">
        <v>477</v>
      </c>
      <c r="BT74" s="4430"/>
      <c r="BU74" s="4431"/>
      <c r="BV74" s="4431" t="str">
        <f>IF(T74="","",T74)</f>
        <v>Источник тепловой энергии  </v>
      </c>
      <c r="BW74" s="4431"/>
      <c r="BX74" s="4431"/>
      <c r="BY74" s="4432">
        <v>0</v>
      </c>
    </row>
    <row s="63225" customFormat="1" customHeight="1" ht="14.25">
      <c r="A75" s="4416"/>
      <c r="B75" s="4416"/>
      <c r="C75" s="4416"/>
      <c r="D75" s="4416"/>
      <c r="E75" s="4434" t="s">
        <v>103</v>
      </c>
      <c r="F75" s="4434"/>
      <c r="G75" s="4434"/>
      <c r="H75" s="4434"/>
      <c r="I75" s="4445" t="str">
        <f>S74&amp;".1"</f>
        <v>3.1.1.1.1</v>
      </c>
      <c r="J75" s="4416"/>
      <c r="K75" s="4416"/>
      <c r="L75" s="4418" t="s">
        <v>478</v>
      </c>
      <c r="M75" s="4446"/>
      <c r="N75" s="4447"/>
      <c r="O75" s="4447"/>
      <c r="P75" s="4448">
        <v>1</v>
      </c>
      <c r="Q75" s="4448"/>
      <c r="R75" s="4449"/>
      <c r="S75" s="4450"/>
      <c r="T75" s="4451"/>
      <c r="U75" s="4452"/>
      <c r="V75" s="4453"/>
      <c r="W75" s="4454"/>
      <c r="X75" s="4454"/>
      <c r="Y75" s="4454"/>
      <c r="Z75" s="4454"/>
      <c r="AA75" s="4454"/>
      <c r="AB75" s="4454"/>
      <c r="AC75" s="4455"/>
      <c r="AD75" s="4453"/>
      <c r="AE75" s="4454"/>
      <c r="AF75" s="4454"/>
      <c r="AG75" s="4454"/>
      <c r="AH75" s="4454"/>
      <c r="AI75" s="4454"/>
      <c r="AJ75" s="4454"/>
      <c r="AK75" s="4454"/>
      <c r="AL75" s="7340"/>
      <c r="AM75" s="7341"/>
      <c r="AN75" s="7341"/>
      <c r="AO75" s="7341"/>
      <c r="AP75" s="7341"/>
      <c r="AQ75" s="7341"/>
      <c r="AR75" s="7341"/>
      <c r="AS75" s="7342"/>
      <c r="AT75" s="7340"/>
      <c r="AU75" s="7341"/>
      <c r="AV75" s="7341"/>
      <c r="AW75" s="7341"/>
      <c r="AX75" s="7341"/>
      <c r="AY75" s="7341"/>
      <c r="AZ75" s="7341"/>
      <c r="BA75" s="7342"/>
      <c r="BB75" s="7340"/>
      <c r="BC75" s="7341"/>
      <c r="BD75" s="7341"/>
      <c r="BE75" s="7341"/>
      <c r="BF75" s="7341"/>
      <c r="BG75" s="7341"/>
      <c r="BH75" s="7341"/>
      <c r="BI75" s="7342"/>
      <c r="BJ75" s="7340"/>
      <c r="BK75" s="7341"/>
      <c r="BL75" s="7341"/>
      <c r="BM75" s="7341"/>
      <c r="BN75" s="7341"/>
      <c r="BO75" s="7341"/>
      <c r="BP75" s="7341"/>
      <c r="BQ75" s="7342"/>
      <c r="BR75" s="4455"/>
      <c r="BS75" s="4456"/>
      <c r="BT75" s="4430"/>
      <c r="BU75" s="4431"/>
      <c r="BV75" s="4431" t="str">
        <f>IF(T75="","",T75)</f>
        <v/>
      </c>
      <c r="BW75" s="4431"/>
      <c r="BX75" s="4431"/>
      <c r="BY75" s="4432">
        <v>0</v>
      </c>
    </row>
    <row s="63225" customFormat="1" customHeight="1" ht="21">
      <c r="A76" s="4416"/>
      <c r="B76" s="4416"/>
      <c r="C76" s="4416"/>
      <c r="D76" s="4416"/>
      <c r="E76" s="4434" t="s">
        <v>103</v>
      </c>
      <c r="F76" s="4434"/>
      <c r="G76" s="4434"/>
      <c r="H76" s="4434"/>
      <c r="I76" s="4458"/>
      <c r="J76" s="4445" t="str">
        <f>I75&amp;".1"</f>
        <v>3.1.1.1.1.1</v>
      </c>
      <c r="K76" s="4416"/>
      <c r="L76" s="4418" t="s">
        <v>481</v>
      </c>
      <c r="M76" s="4446"/>
      <c r="N76" s="4446"/>
      <c r="O76" s="4447"/>
      <c r="P76" s="4448"/>
      <c r="Q76" s="4448">
        <v>1</v>
      </c>
      <c r="R76" s="4459"/>
      <c r="S76" s="4423" t="str">
        <f>$J76</f>
        <v>3.1.1.1.1.1</v>
      </c>
      <c r="T76" s="4460" t="s">
        <v>482</v>
      </c>
      <c r="U76" s="4425"/>
      <c r="V76" s="4461"/>
      <c r="W76" s="4462"/>
      <c r="X76" s="4462"/>
      <c r="Y76" s="4462"/>
      <c r="Z76" s="4462"/>
      <c r="AA76" s="4462"/>
      <c r="AB76" s="4462"/>
      <c r="AC76" s="4463"/>
      <c r="AD76" s="4461" t="s">
        <v>521</v>
      </c>
      <c r="AE76" s="4462"/>
      <c r="AF76" s="4462"/>
      <c r="AG76" s="4462"/>
      <c r="AH76" s="4462"/>
      <c r="AI76" s="4462"/>
      <c r="AJ76" s="4462"/>
      <c r="AK76" s="4462"/>
      <c r="AL76" s="7344"/>
      <c r="AM76" s="7345"/>
      <c r="AN76" s="7345"/>
      <c r="AO76" s="7345"/>
      <c r="AP76" s="7345"/>
      <c r="AQ76" s="7345"/>
      <c r="AR76" s="7345"/>
      <c r="AS76" s="7346"/>
      <c r="AT76" s="7344"/>
      <c r="AU76" s="7345"/>
      <c r="AV76" s="7345"/>
      <c r="AW76" s="7345"/>
      <c r="AX76" s="7345"/>
      <c r="AY76" s="7345"/>
      <c r="AZ76" s="7345"/>
      <c r="BA76" s="7346"/>
      <c r="BB76" s="7344"/>
      <c r="BC76" s="7345"/>
      <c r="BD76" s="7345"/>
      <c r="BE76" s="7345"/>
      <c r="BF76" s="7345"/>
      <c r="BG76" s="7345"/>
      <c r="BH76" s="7345"/>
      <c r="BI76" s="7346"/>
      <c r="BJ76" s="7344"/>
      <c r="BK76" s="7345"/>
      <c r="BL76" s="7345"/>
      <c r="BM76" s="7345"/>
      <c r="BN76" s="7345"/>
      <c r="BO76" s="7345"/>
      <c r="BP76" s="7345"/>
      <c r="BQ76" s="7346"/>
      <c r="BR76" s="4463"/>
      <c r="BS76" s="4429" t="s">
        <v>483</v>
      </c>
      <c r="BT76" s="4430"/>
      <c r="BU76" s="4431"/>
      <c r="BV76" s="4431" t="str">
        <f>IF(T76="","",T76)</f>
        <v>Группа потребителей</v>
      </c>
      <c r="BW76" s="4431"/>
      <c r="BX76" s="4431"/>
      <c r="BY76" s="4432">
        <v>0</v>
      </c>
    </row>
    <row s="63225" customFormat="1" customHeight="1" ht="21">
      <c r="A77" s="4416"/>
      <c r="B77" s="4416"/>
      <c r="C77" s="4416"/>
      <c r="D77" s="4416"/>
      <c r="E77" s="4434" t="s">
        <v>103</v>
      </c>
      <c r="F77" s="4434"/>
      <c r="G77" s="4434"/>
      <c r="H77" s="4434"/>
      <c r="I77" s="4458"/>
      <c r="J77" s="4458"/>
      <c r="K77" s="4445" t="str">
        <f>J76&amp;".1"</f>
        <v>3.1.1.1.1.1.1</v>
      </c>
      <c r="L77" s="4418" t="s">
        <v>484</v>
      </c>
      <c r="M77" s="4446"/>
      <c r="N77" s="4446"/>
      <c r="O77" s="4446"/>
      <c r="P77" s="4448"/>
      <c r="Q77" s="4448"/>
      <c r="R77" s="4459">
        <v>1</v>
      </c>
      <c r="S77" s="4423" t="str">
        <f>$K77</f>
        <v>3.1.1.1.1.1.1</v>
      </c>
      <c r="T77" s="4465" t="s">
        <v>522</v>
      </c>
      <c r="U77" s="4425"/>
      <c r="V77" s="4466"/>
      <c r="W77" s="4467"/>
      <c r="X77" s="4466"/>
      <c r="Y77" s="4468"/>
      <c r="Z77" s="4469"/>
      <c r="AA77" s="3767" t="s">
        <v>67</v>
      </c>
      <c r="AB77" s="4469"/>
      <c r="AC77" s="3767" t="s">
        <v>67</v>
      </c>
      <c r="AD77" s="4466">
        <v>59.35</v>
      </c>
      <c r="AE77" s="4467"/>
      <c r="AF77" s="4466"/>
      <c r="AG77" s="4468"/>
      <c r="AH77" s="7350">
        <v>45292</v>
      </c>
      <c r="AI77" s="3767" t="s">
        <v>67</v>
      </c>
      <c r="AJ77" s="7350">
        <v>45657</v>
      </c>
      <c r="AK77" s="3767" t="s">
        <v>67</v>
      </c>
      <c r="AL77" s="7347">
        <v>38.14</v>
      </c>
      <c r="AM77" s="7348"/>
      <c r="AN77" s="7347"/>
      <c r="AO77" s="7349"/>
      <c r="AP77" s="7350">
        <v>45658</v>
      </c>
      <c r="AQ77" s="7351" t="s">
        <v>67</v>
      </c>
      <c r="AR77" s="7350">
        <v>46022</v>
      </c>
      <c r="AS77" s="7351" t="s">
        <v>67</v>
      </c>
      <c r="AT77" s="7347">
        <v>54.8</v>
      </c>
      <c r="AU77" s="7348"/>
      <c r="AV77" s="7347"/>
      <c r="AW77" s="7349"/>
      <c r="AX77" s="7350">
        <v>46023</v>
      </c>
      <c r="AY77" s="7351" t="s">
        <v>67</v>
      </c>
      <c r="AZ77" s="7350">
        <v>46387</v>
      </c>
      <c r="BA77" s="7351" t="s">
        <v>67</v>
      </c>
      <c r="BB77" s="7347">
        <v>50.2</v>
      </c>
      <c r="BC77" s="7348"/>
      <c r="BD77" s="7347"/>
      <c r="BE77" s="7349"/>
      <c r="BF77" s="7350">
        <v>46388</v>
      </c>
      <c r="BG77" s="7351" t="s">
        <v>67</v>
      </c>
      <c r="BH77" s="7350">
        <v>46752</v>
      </c>
      <c r="BI77" s="7351" t="s">
        <v>67</v>
      </c>
      <c r="BJ77" s="7347">
        <v>51.64</v>
      </c>
      <c r="BK77" s="7348"/>
      <c r="BL77" s="7347"/>
      <c r="BM77" s="7349"/>
      <c r="BN77" s="7350">
        <v>46753</v>
      </c>
      <c r="BO77" s="7351" t="s">
        <v>67</v>
      </c>
      <c r="BP77" s="7350">
        <v>47118</v>
      </c>
      <c r="BQ77" s="7351" t="s">
        <v>67</v>
      </c>
      <c r="BR77" s="4467"/>
      <c r="BS77" s="4470" t="s">
        <v>485</v>
      </c>
      <c r="BT77" s="4430">
        <f>STRCHECKDATE(V78:BR78)</f>
      </c>
      <c r="BU77" s="4431"/>
      <c r="BV77" s="4431" t="str">
        <f>IF(T77="","",T77)</f>
        <v>вода</v>
      </c>
      <c r="BW77" s="4431"/>
      <c r="BX77" s="4431"/>
      <c r="BY77" s="4432">
        <v>0</v>
      </c>
    </row>
    <row s="63225" customFormat="1" customHeight="1" ht="0.75">
      <c r="A78" s="4416"/>
      <c r="B78" s="4416"/>
      <c r="C78" s="4416"/>
      <c r="D78" s="4416"/>
      <c r="E78" s="4434" t="s">
        <v>103</v>
      </c>
      <c r="F78" s="4434"/>
      <c r="G78" s="4434"/>
      <c r="H78" s="4434"/>
      <c r="I78" s="4458"/>
      <c r="J78" s="4458"/>
      <c r="K78" s="4445"/>
      <c r="L78" s="4418"/>
      <c r="M78" s="4446"/>
      <c r="N78" s="4446"/>
      <c r="O78" s="4446"/>
      <c r="P78" s="4448"/>
      <c r="Q78" s="4448"/>
      <c r="R78" s="4459"/>
      <c r="S78" s="4472"/>
      <c r="T78" s="4425"/>
      <c r="U78" s="4425"/>
      <c r="V78" s="4467"/>
      <c r="W78" s="4467"/>
      <c r="X78" s="4467"/>
      <c r="Y78" s="4473" t="str">
        <f>Z77&amp;"-"&amp;AB77</f>
        <v>-</v>
      </c>
      <c r="Z78" s="4474"/>
      <c r="AA78" s="3767"/>
      <c r="AB78" s="4474"/>
      <c r="AC78" s="3767"/>
      <c r="AD78" s="4467"/>
      <c r="AE78" s="4467"/>
      <c r="AF78" s="4467"/>
      <c r="AG78" s="4473" t="str">
        <f>AH77&amp;"-"&amp;AJ77</f>
        <v>45292-45657</v>
      </c>
      <c r="AH78" s="4474"/>
      <c r="AI78" s="3767"/>
      <c r="AJ78" s="4474"/>
      <c r="AK78" s="3767"/>
      <c r="AL78" s="7348"/>
      <c r="AM78" s="7348"/>
      <c r="AN78" s="7348"/>
      <c r="AO78" s="7352" t="str">
        <f>AP77&amp;"-"&amp;AR77</f>
        <v>45658-46022</v>
      </c>
      <c r="AP78" s="7353"/>
      <c r="AQ78" s="7351"/>
      <c r="AR78" s="7353"/>
      <c r="AS78" s="7351"/>
      <c r="AT78" s="7348"/>
      <c r="AU78" s="7348"/>
      <c r="AV78" s="7348"/>
      <c r="AW78" s="7352" t="str">
        <f>AX77&amp;"-"&amp;AZ77</f>
        <v>46023-46387</v>
      </c>
      <c r="AX78" s="7353"/>
      <c r="AY78" s="7351"/>
      <c r="AZ78" s="7353"/>
      <c r="BA78" s="7351"/>
      <c r="BB78" s="7348"/>
      <c r="BC78" s="7348"/>
      <c r="BD78" s="7348"/>
      <c r="BE78" s="7352" t="str">
        <f>BF77&amp;"-"&amp;BH77</f>
        <v>46388-46752</v>
      </c>
      <c r="BF78" s="7353"/>
      <c r="BG78" s="7351"/>
      <c r="BH78" s="7353"/>
      <c r="BI78" s="7351"/>
      <c r="BJ78" s="7348"/>
      <c r="BK78" s="7348"/>
      <c r="BL78" s="7348"/>
      <c r="BM78" s="7352" t="str">
        <f>BN77&amp;"-"&amp;BP77</f>
        <v>46753-47118</v>
      </c>
      <c r="BN78" s="7353"/>
      <c r="BO78" s="7351"/>
      <c r="BP78" s="7353"/>
      <c r="BQ78" s="7351"/>
      <c r="BR78" s="4467"/>
      <c r="BS78" s="4475"/>
      <c r="BT78" s="4430"/>
      <c r="BU78" s="4431"/>
      <c r="BV78" s="4431" t="str">
        <f>IF(T78="","",T78)</f>
        <v/>
      </c>
      <c r="BW78" s="4431"/>
      <c r="BX78" s="4431"/>
      <c r="BY78" s="4432">
        <v>0</v>
      </c>
    </row>
    <row s="63225" customFormat="1" customHeight="1" ht="15">
      <c r="A79" s="4416"/>
      <c r="B79" s="4416"/>
      <c r="C79" s="4416"/>
      <c r="D79" s="4416"/>
      <c r="E79" s="4434" t="s">
        <v>103</v>
      </c>
      <c r="F79" s="4434"/>
      <c r="G79" s="4434"/>
      <c r="H79" s="4434"/>
      <c r="I79" s="4458"/>
      <c r="J79" s="4445"/>
      <c r="K79" s="4416"/>
      <c r="L79" s="4418"/>
      <c r="M79" s="4446"/>
      <c r="N79" s="4446"/>
      <c r="O79" s="4447"/>
      <c r="P79" s="4448"/>
      <c r="Q79" s="4448"/>
      <c r="R79" s="4449"/>
      <c r="S79" s="4551"/>
      <c r="T79" s="4552" t="s">
        <v>486</v>
      </c>
      <c r="U79" s="4553"/>
      <c r="V79" s="4554"/>
      <c r="W79" s="4555"/>
      <c r="X79" s="4556"/>
      <c r="Y79" s="4557"/>
      <c r="Z79" s="4558"/>
      <c r="AA79" s="4559"/>
      <c r="AB79" s="4560"/>
      <c r="AC79" s="4561"/>
      <c r="AD79" s="4562"/>
      <c r="AE79" s="4563"/>
      <c r="AF79" s="4564"/>
      <c r="AG79" s="4565"/>
      <c r="AH79" s="4566"/>
      <c r="AI79" s="4567"/>
      <c r="AJ79" s="4568"/>
      <c r="AK79" s="4569"/>
      <c r="AL79" s="7738"/>
      <c r="AM79" s="7739"/>
      <c r="AN79" s="7740"/>
      <c r="AO79" s="7741"/>
      <c r="AP79" s="7742"/>
      <c r="AQ79" s="7743"/>
      <c r="AR79" s="7744"/>
      <c r="AS79" s="7745"/>
      <c r="AT79" s="7746"/>
      <c r="AU79" s="7747"/>
      <c r="AV79" s="7748"/>
      <c r="AW79" s="7749"/>
      <c r="AX79" s="7750"/>
      <c r="AY79" s="7751"/>
      <c r="AZ79" s="7752"/>
      <c r="BA79" s="7753"/>
      <c r="BB79" s="7754"/>
      <c r="BC79" s="7755"/>
      <c r="BD79" s="7756"/>
      <c r="BE79" s="7757"/>
      <c r="BF79" s="7758"/>
      <c r="BG79" s="7759"/>
      <c r="BH79" s="7760"/>
      <c r="BI79" s="7761"/>
      <c r="BJ79" s="7762"/>
      <c r="BK79" s="7763"/>
      <c r="BL79" s="7764"/>
      <c r="BM79" s="7765"/>
      <c r="BN79" s="7766"/>
      <c r="BO79" s="7767"/>
      <c r="BP79" s="7768"/>
      <c r="BQ79" s="7769"/>
      <c r="BR79" s="4570"/>
      <c r="BS79" s="4497"/>
      <c r="BT79" s="4430"/>
      <c r="BU79" s="4431"/>
      <c r="BV79" s="4431" t="str">
        <f>IF(T79="","",T79)</f>
        <v>Добавить вид теплоносителя (параметры теплоносителя)</v>
      </c>
      <c r="BW79" s="4431"/>
      <c r="BX79" s="4431"/>
      <c r="BY79" s="4432">
        <v>0</v>
      </c>
    </row>
    <row s="63225" customFormat="1" customHeight="1" ht="15">
      <c r="A80" s="4416"/>
      <c r="B80" s="4416"/>
      <c r="C80" s="4416"/>
      <c r="D80" s="4416"/>
      <c r="E80" s="4434" t="s">
        <v>103</v>
      </c>
      <c r="F80" s="4434"/>
      <c r="G80" s="4434"/>
      <c r="H80" s="4434"/>
      <c r="I80" s="4445"/>
      <c r="J80" s="4416"/>
      <c r="K80" s="4416"/>
      <c r="L80" s="4418"/>
      <c r="M80" s="4446"/>
      <c r="N80" s="4447"/>
      <c r="O80" s="4447"/>
      <c r="P80" s="4448"/>
      <c r="Q80" s="4448"/>
      <c r="R80" s="4449"/>
      <c r="S80" s="4572"/>
      <c r="T80" s="4573" t="s">
        <v>487</v>
      </c>
      <c r="U80" s="4574"/>
      <c r="V80" s="4575"/>
      <c r="W80" s="4576"/>
      <c r="X80" s="4577"/>
      <c r="Y80" s="4578"/>
      <c r="Z80" s="4579"/>
      <c r="AA80" s="4580"/>
      <c r="AB80" s="4581"/>
      <c r="AC80" s="4582"/>
      <c r="AD80" s="4583"/>
      <c r="AE80" s="4584"/>
      <c r="AF80" s="4585"/>
      <c r="AG80" s="4586"/>
      <c r="AH80" s="4587"/>
      <c r="AI80" s="4588"/>
      <c r="AJ80" s="4589"/>
      <c r="AK80" s="4590"/>
      <c r="AL80" s="7791"/>
      <c r="AM80" s="7792"/>
      <c r="AN80" s="7793"/>
      <c r="AO80" s="7794"/>
      <c r="AP80" s="7795"/>
      <c r="AQ80" s="7796"/>
      <c r="AR80" s="7797"/>
      <c r="AS80" s="7798"/>
      <c r="AT80" s="7799"/>
      <c r="AU80" s="7800"/>
      <c r="AV80" s="7801"/>
      <c r="AW80" s="7802"/>
      <c r="AX80" s="7803"/>
      <c r="AY80" s="7804"/>
      <c r="AZ80" s="7805"/>
      <c r="BA80" s="7806"/>
      <c r="BB80" s="7807"/>
      <c r="BC80" s="7808"/>
      <c r="BD80" s="7809"/>
      <c r="BE80" s="7810"/>
      <c r="BF80" s="7811"/>
      <c r="BG80" s="7812"/>
      <c r="BH80" s="7813"/>
      <c r="BI80" s="7814"/>
      <c r="BJ80" s="7815"/>
      <c r="BK80" s="7816"/>
      <c r="BL80" s="7817"/>
      <c r="BM80" s="7818"/>
      <c r="BN80" s="7819"/>
      <c r="BO80" s="7820"/>
      <c r="BP80" s="7821"/>
      <c r="BQ80" s="7822"/>
      <c r="BR80" s="4591"/>
      <c r="BS80" s="4592"/>
      <c r="BT80" s="4430"/>
      <c r="BU80" s="4431"/>
      <c r="BV80" s="4431" t="str">
        <f>IF(T80="","",T80)</f>
        <v>Добавить группу потребителей</v>
      </c>
      <c r="BW80" s="4431"/>
      <c r="BX80" s="4431"/>
      <c r="BY80" s="4432">
        <v>0</v>
      </c>
    </row>
    <row s="63225" customFormat="1" customHeight="1" ht="14.25">
      <c r="A81" s="4416"/>
      <c r="B81" s="4416"/>
      <c r="C81" s="4416"/>
      <c r="D81" s="4416"/>
      <c r="E81" s="4434" t="s">
        <v>103</v>
      </c>
      <c r="F81" s="4434"/>
      <c r="G81" s="4434"/>
      <c r="H81" s="4417"/>
      <c r="I81" s="4416"/>
      <c r="J81" s="4416"/>
      <c r="K81" s="4416"/>
      <c r="L81" s="4418"/>
      <c r="M81" s="4419"/>
      <c r="N81" s="4419"/>
      <c r="O81" s="4446"/>
      <c r="P81" s="4421"/>
      <c r="Q81" s="4521"/>
      <c r="R81" s="4422"/>
      <c r="S81" s="4522"/>
      <c r="T81" s="4523"/>
      <c r="U81" s="4524"/>
      <c r="V81" s="4524"/>
      <c r="W81" s="4524"/>
      <c r="X81" s="4524"/>
      <c r="Y81" s="4524"/>
      <c r="Z81" s="4524"/>
      <c r="AA81" s="4524"/>
      <c r="AB81" s="4524"/>
      <c r="AC81" s="4524"/>
      <c r="AD81" s="4524"/>
      <c r="AE81" s="4524"/>
      <c r="AF81" s="4524"/>
      <c r="AG81" s="4524"/>
      <c r="AH81" s="4524"/>
      <c r="AI81" s="4524"/>
      <c r="AJ81" s="4524"/>
      <c r="AK81" s="4524"/>
      <c r="AL81" s="7421"/>
      <c r="AM81" s="7421"/>
      <c r="AN81" s="7421"/>
      <c r="AO81" s="7421"/>
      <c r="AP81" s="7421"/>
      <c r="AQ81" s="7421"/>
      <c r="AR81" s="7421"/>
      <c r="AS81" s="7421"/>
      <c r="AT81" s="7421"/>
      <c r="AU81" s="7421"/>
      <c r="AV81" s="7421"/>
      <c r="AW81" s="7421"/>
      <c r="AX81" s="7421"/>
      <c r="AY81" s="7421"/>
      <c r="AZ81" s="7421"/>
      <c r="BA81" s="7421"/>
      <c r="BB81" s="7421"/>
      <c r="BC81" s="7421"/>
      <c r="BD81" s="7421"/>
      <c r="BE81" s="7421"/>
      <c r="BF81" s="7421"/>
      <c r="BG81" s="7421"/>
      <c r="BH81" s="7421"/>
      <c r="BI81" s="7421"/>
      <c r="BJ81" s="7421"/>
      <c r="BK81" s="7421"/>
      <c r="BL81" s="7421"/>
      <c r="BM81" s="7421"/>
      <c r="BN81" s="7421"/>
      <c r="BO81" s="7421"/>
      <c r="BP81" s="7421"/>
      <c r="BQ81" s="7421"/>
      <c r="BR81" s="4524"/>
      <c r="BS81" s="4525"/>
      <c r="BT81" s="4430"/>
      <c r="BU81" s="4431"/>
      <c r="BV81" s="4431" t="str">
        <f>IF(T81="","",T81)</f>
        <v/>
      </c>
      <c r="BW81" s="4431"/>
      <c r="BX81" s="4431"/>
      <c r="BY81" s="4432">
        <v>0</v>
      </c>
    </row>
    <row s="61685" customFormat="1" customHeight="1" ht="0.75">
      <c r="A82" s="4527"/>
      <c r="B82" s="4527"/>
      <c r="C82" s="4527"/>
      <c r="D82" s="4527"/>
      <c r="E82" s="4434" t="s">
        <v>103</v>
      </c>
      <c r="F82" s="4434"/>
      <c r="G82" s="4417"/>
      <c r="H82" s="4527"/>
      <c r="I82" s="4527"/>
      <c r="J82" s="4527"/>
      <c r="K82" s="4527"/>
      <c r="L82" s="4528"/>
      <c r="M82" s="4529"/>
      <c r="N82" s="4529"/>
      <c r="O82" s="4430"/>
      <c r="P82" s="4530"/>
      <c r="Q82" s="4531"/>
      <c r="R82" s="4530"/>
      <c r="S82" s="4532"/>
      <c r="T82" s="4533" t="s">
        <v>171</v>
      </c>
      <c r="U82" s="4534"/>
      <c r="V82" s="4534"/>
      <c r="W82" s="4534"/>
      <c r="X82" s="4534"/>
      <c r="Y82" s="4534"/>
      <c r="Z82" s="4534"/>
      <c r="AA82" s="4534"/>
      <c r="AB82" s="4534"/>
      <c r="AC82" s="4534"/>
      <c r="AD82" s="4534"/>
      <c r="AE82" s="4534"/>
      <c r="AF82" s="4534"/>
      <c r="AG82" s="4534"/>
      <c r="AH82" s="4534"/>
      <c r="AI82" s="4534"/>
      <c r="AJ82" s="4534"/>
      <c r="AK82" s="4534"/>
      <c r="AL82" s="7423"/>
      <c r="AM82" s="7423"/>
      <c r="AN82" s="7423"/>
      <c r="AO82" s="7423"/>
      <c r="AP82" s="7423"/>
      <c r="AQ82" s="7423"/>
      <c r="AR82" s="7423"/>
      <c r="AS82" s="7423"/>
      <c r="AT82" s="7423"/>
      <c r="AU82" s="7423"/>
      <c r="AV82" s="7423"/>
      <c r="AW82" s="7423"/>
      <c r="AX82" s="7423"/>
      <c r="AY82" s="7423"/>
      <c r="AZ82" s="7423"/>
      <c r="BA82" s="7423"/>
      <c r="BB82" s="7423"/>
      <c r="BC82" s="7423"/>
      <c r="BD82" s="7423"/>
      <c r="BE82" s="7423"/>
      <c r="BF82" s="7423"/>
      <c r="BG82" s="7423"/>
      <c r="BH82" s="7423"/>
      <c r="BI82" s="7423"/>
      <c r="BJ82" s="7423"/>
      <c r="BK82" s="7423"/>
      <c r="BL82" s="7423"/>
      <c r="BM82" s="7423"/>
      <c r="BN82" s="7423"/>
      <c r="BO82" s="7423"/>
      <c r="BP82" s="7423"/>
      <c r="BQ82" s="7423"/>
      <c r="BR82" s="4534"/>
      <c r="BS82" s="4534"/>
      <c r="BT82" s="4430"/>
      <c r="BU82" s="4431"/>
      <c r="BV82" s="4431" t="str">
        <f>IF(T82="","",T82)</f>
        <v>Добавить источник для дифференциации</v>
      </c>
      <c r="BW82" s="4431"/>
      <c r="BX82" s="4431"/>
      <c r="BY82" s="4430">
        <v>0</v>
      </c>
    </row>
    <row s="61685" customFormat="1" customHeight="1" ht="0.75">
      <c r="A83" s="4527"/>
      <c r="B83" s="4527"/>
      <c r="C83" s="4527"/>
      <c r="D83" s="4527"/>
      <c r="E83" s="4434" t="s">
        <v>103</v>
      </c>
      <c r="F83" s="4417"/>
      <c r="G83" s="4527"/>
      <c r="H83" s="4527"/>
      <c r="I83" s="4527"/>
      <c r="J83" s="4527"/>
      <c r="K83" s="4527"/>
      <c r="L83" s="4528"/>
      <c r="M83" s="4536"/>
      <c r="N83" s="4536"/>
      <c r="O83" s="4430"/>
      <c r="P83" s="4530"/>
      <c r="Q83" s="4531"/>
      <c r="R83" s="4530"/>
      <c r="S83" s="4537"/>
      <c r="T83" s="4538" t="s">
        <v>172</v>
      </c>
      <c r="U83" s="4539"/>
      <c r="V83" s="4539"/>
      <c r="W83" s="4539"/>
      <c r="X83" s="4539"/>
      <c r="Y83" s="4539"/>
      <c r="Z83" s="4539"/>
      <c r="AA83" s="4539"/>
      <c r="AB83" s="4539"/>
      <c r="AC83" s="4539"/>
      <c r="AD83" s="4539"/>
      <c r="AE83" s="4539"/>
      <c r="AF83" s="4539"/>
      <c r="AG83" s="4539"/>
      <c r="AH83" s="4539"/>
      <c r="AI83" s="4539"/>
      <c r="AJ83" s="4539"/>
      <c r="AK83" s="4539"/>
      <c r="AL83" s="7424"/>
      <c r="AM83" s="7424"/>
      <c r="AN83" s="7424"/>
      <c r="AO83" s="7424"/>
      <c r="AP83" s="7424"/>
      <c r="AQ83" s="7424"/>
      <c r="AR83" s="7424"/>
      <c r="AS83" s="7424"/>
      <c r="AT83" s="7424"/>
      <c r="AU83" s="7424"/>
      <c r="AV83" s="7424"/>
      <c r="AW83" s="7424"/>
      <c r="AX83" s="7424"/>
      <c r="AY83" s="7424"/>
      <c r="AZ83" s="7424"/>
      <c r="BA83" s="7424"/>
      <c r="BB83" s="7424"/>
      <c r="BC83" s="7424"/>
      <c r="BD83" s="7424"/>
      <c r="BE83" s="7424"/>
      <c r="BF83" s="7424"/>
      <c r="BG83" s="7424"/>
      <c r="BH83" s="7424"/>
      <c r="BI83" s="7424"/>
      <c r="BJ83" s="7424"/>
      <c r="BK83" s="7424"/>
      <c r="BL83" s="7424"/>
      <c r="BM83" s="7424"/>
      <c r="BN83" s="7424"/>
      <c r="BO83" s="7424"/>
      <c r="BP83" s="7424"/>
      <c r="BQ83" s="7424"/>
      <c r="BR83" s="4539"/>
      <c r="BS83" s="4539"/>
      <c r="BT83" s="4430"/>
      <c r="BU83" s="4431"/>
      <c r="BV83" s="4431" t="str">
        <f>IF(T83="","",T83)</f>
        <v>Добавить централизованную систему для дифференциации</v>
      </c>
      <c r="BW83" s="4431"/>
      <c r="BX83" s="4431"/>
      <c r="BY83" s="4430">
        <v>0</v>
      </c>
    </row>
    <row s="61685" customFormat="1" customHeight="1" ht="0.75">
      <c r="A84" s="4527"/>
      <c r="B84" s="4527"/>
      <c r="C84" s="4527"/>
      <c r="D84" s="4527"/>
      <c r="E84" s="4417" t="s">
        <v>103</v>
      </c>
      <c r="F84" s="4527"/>
      <c r="G84" s="4527"/>
      <c r="H84" s="4527"/>
      <c r="I84" s="4527"/>
      <c r="J84" s="4527"/>
      <c r="K84" s="4527"/>
      <c r="L84" s="4528"/>
      <c r="M84" s="4536"/>
      <c r="N84" s="4536"/>
      <c r="O84" s="4430"/>
      <c r="P84" s="4530"/>
      <c r="Q84" s="4531"/>
      <c r="R84" s="4530"/>
      <c r="S84" s="4537"/>
      <c r="T84" s="4541" t="s">
        <v>173</v>
      </c>
      <c r="U84" s="4539"/>
      <c r="V84" s="4539"/>
      <c r="W84" s="4539"/>
      <c r="X84" s="4539"/>
      <c r="Y84" s="4539"/>
      <c r="Z84" s="4539"/>
      <c r="AA84" s="4539"/>
      <c r="AB84" s="4539"/>
      <c r="AC84" s="4539"/>
      <c r="AD84" s="4539"/>
      <c r="AE84" s="4539"/>
      <c r="AF84" s="4539"/>
      <c r="AG84" s="4539"/>
      <c r="AH84" s="4539"/>
      <c r="AI84" s="4539"/>
      <c r="AJ84" s="4539"/>
      <c r="AK84" s="4539"/>
      <c r="AL84" s="7424"/>
      <c r="AM84" s="7424"/>
      <c r="AN84" s="7424"/>
      <c r="AO84" s="7424"/>
      <c r="AP84" s="7424"/>
      <c r="AQ84" s="7424"/>
      <c r="AR84" s="7424"/>
      <c r="AS84" s="7424"/>
      <c r="AT84" s="7424"/>
      <c r="AU84" s="7424"/>
      <c r="AV84" s="7424"/>
      <c r="AW84" s="7424"/>
      <c r="AX84" s="7424"/>
      <c r="AY84" s="7424"/>
      <c r="AZ84" s="7424"/>
      <c r="BA84" s="7424"/>
      <c r="BB84" s="7424"/>
      <c r="BC84" s="7424"/>
      <c r="BD84" s="7424"/>
      <c r="BE84" s="7424"/>
      <c r="BF84" s="7424"/>
      <c r="BG84" s="7424"/>
      <c r="BH84" s="7424"/>
      <c r="BI84" s="7424"/>
      <c r="BJ84" s="7424"/>
      <c r="BK84" s="7424"/>
      <c r="BL84" s="7424"/>
      <c r="BM84" s="7424"/>
      <c r="BN84" s="7424"/>
      <c r="BO84" s="7424"/>
      <c r="BP84" s="7424"/>
      <c r="BQ84" s="7424"/>
      <c r="BR84" s="4539"/>
      <c r="BS84" s="4539"/>
      <c r="BT84" s="4430"/>
      <c r="BU84" s="4431"/>
      <c r="BV84" s="4431" t="str">
        <f>IF(T84="","",T84)</f>
        <v>Добавить территорию для дифференциации</v>
      </c>
      <c r="BW84" s="4431"/>
      <c r="BX84" s="4431"/>
      <c r="BY84" s="4430">
        <v>0</v>
      </c>
    </row>
    <row s="61695" customFormat="1" customHeight="1" ht="1.05">
      <c r="A85" s="2006"/>
      <c r="B85" s="2006"/>
      <c r="C85" s="2006"/>
      <c r="D85" s="2006"/>
      <c r="E85" s="2035"/>
      <c r="F85" s="2006"/>
      <c r="G85" s="2006"/>
      <c r="H85" s="2006"/>
      <c r="I85" s="2006"/>
      <c r="J85" s="2006"/>
      <c r="K85" s="2006"/>
      <c r="L85" s="2031"/>
      <c r="M85" s="2013"/>
      <c r="N85" s="2013"/>
      <c r="P85" s="2008"/>
      <c r="Q85" s="2009"/>
      <c r="R85" s="2008"/>
      <c r="S85" s="2014"/>
      <c r="T85" s="2017" t="s">
        <v>186</v>
      </c>
      <c r="U85" s="2016"/>
      <c r="V85" s="2016"/>
      <c r="W85" s="2016"/>
      <c r="X85" s="2016"/>
      <c r="Y85" s="2016"/>
      <c r="Z85" s="2016"/>
      <c r="AA85" s="2016"/>
      <c r="AB85" s="2016"/>
      <c r="AC85" s="2016"/>
      <c r="AD85" s="2016"/>
      <c r="AE85" s="2016"/>
      <c r="AF85" s="2016"/>
      <c r="AG85" s="2016"/>
      <c r="AH85" s="2016"/>
      <c r="AI85" s="2016"/>
      <c r="AJ85" s="2016"/>
      <c r="AK85" s="2016"/>
      <c r="AL85" s="7424"/>
      <c r="AM85" s="7424"/>
      <c r="AN85" s="7424"/>
      <c r="AO85" s="7424"/>
      <c r="AP85" s="7424"/>
      <c r="AQ85" s="7424"/>
      <c r="AR85" s="7424"/>
      <c r="AS85" s="7424"/>
      <c r="AT85" s="7424"/>
      <c r="AU85" s="7424"/>
      <c r="AV85" s="7424"/>
      <c r="AW85" s="7424"/>
      <c r="AX85" s="7424"/>
      <c r="AY85" s="7424"/>
      <c r="AZ85" s="7424"/>
      <c r="BA85" s="7424"/>
      <c r="BB85" s="7424"/>
      <c r="BC85" s="7424"/>
      <c r="BD85" s="7424"/>
      <c r="BE85" s="7424"/>
      <c r="BF85" s="7424"/>
      <c r="BG85" s="7424"/>
      <c r="BH85" s="7424"/>
      <c r="BI85" s="7424"/>
      <c r="BJ85" s="7424"/>
      <c r="BK85" s="7424"/>
      <c r="BL85" s="7424"/>
      <c r="BM85" s="7424"/>
      <c r="BN85" s="7424"/>
      <c r="BO85" s="7424"/>
      <c r="BP85" s="7424"/>
      <c r="BQ85" s="7424"/>
      <c r="BR85" s="2016"/>
      <c r="BS85" s="2016"/>
      <c r="BU85" s="1481"/>
      <c r="BV85" s="1481" t="str">
        <f>IF(T85="","",T85)</f>
        <v>Добавить наименование тарифа</v>
      </c>
      <c r="BW85" s="1481"/>
      <c r="BX85" s="1481"/>
      <c r="BY85" s="1210">
        <v>1</v>
      </c>
    </row>
    <row customHeight="1" ht="11.549999999999999">
      <c r="M86" s="1852"/>
      <c r="N86" s="1852"/>
      <c r="O86" s="1229"/>
      <c r="P86" s="1847"/>
      <c r="Q86" s="1847"/>
      <c r="R86" s="1847"/>
      <c r="S86" s="1847"/>
      <c r="AL86" s="7330"/>
      <c r="AM86" s="7330"/>
      <c r="AN86" s="7330"/>
      <c r="AO86" s="7330"/>
      <c r="AP86" s="7330"/>
      <c r="AQ86" s="7330"/>
      <c r="AR86" s="7330"/>
      <c r="AS86" s="7330"/>
      <c r="AT86" s="7330"/>
      <c r="AU86" s="7330"/>
      <c r="AV86" s="7330"/>
      <c r="AW86" s="7330"/>
      <c r="AX86" s="7330"/>
      <c r="AY86" s="7330"/>
      <c r="AZ86" s="7330"/>
      <c r="BA86" s="7330"/>
      <c r="BB86" s="7330"/>
      <c r="BC86" s="7330"/>
      <c r="BD86" s="7330"/>
      <c r="BE86" s="7330"/>
      <c r="BF86" s="7330"/>
      <c r="BG86" s="7330"/>
      <c r="BH86" s="7330"/>
      <c r="BI86" s="7330"/>
      <c r="BJ86" s="7330"/>
      <c r="BK86" s="7330"/>
      <c r="BL86" s="7330"/>
      <c r="BM86" s="7330"/>
      <c r="BN86" s="7330"/>
      <c r="BO86" s="7330"/>
      <c r="BP86" s="7330"/>
      <c r="BQ86" s="7330"/>
      <c r="BT86" s="1847"/>
      <c r="BU86" s="1847"/>
      <c r="BV86" s="1847"/>
      <c r="BW86" s="1847"/>
      <c r="BX86" s="1847"/>
      <c r="BY86" s="1847">
        <v>11</v>
      </c>
    </row>
    <row customHeight="1" ht="19.95">
      <c r="O87" s="1229"/>
      <c r="S87" s="1945"/>
      <c r="T87" s="2977"/>
      <c r="U87" s="2977"/>
      <c r="V87" s="2977"/>
      <c r="W87" s="2977"/>
      <c r="X87" s="2977"/>
      <c r="Y87" s="2977"/>
      <c r="Z87" s="2977"/>
      <c r="AA87" s="2977"/>
      <c r="AB87" s="2977"/>
      <c r="AC87" s="2977"/>
      <c r="AD87" s="2977"/>
      <c r="AE87" s="2977"/>
      <c r="AF87" s="2977"/>
      <c r="AG87" s="2977"/>
      <c r="AH87" s="2977"/>
      <c r="AI87" s="2977"/>
      <c r="AJ87" s="2977"/>
      <c r="AK87" s="2977"/>
      <c r="AL87" s="7829"/>
      <c r="AM87" s="7829"/>
      <c r="AN87" s="7829"/>
      <c r="AO87" s="7829"/>
      <c r="AP87" s="7829"/>
      <c r="AQ87" s="7829"/>
      <c r="AR87" s="7829"/>
      <c r="AS87" s="7829"/>
      <c r="AT87" s="7829"/>
      <c r="AU87" s="7829"/>
      <c r="AV87" s="7829"/>
      <c r="AW87" s="7829"/>
      <c r="AX87" s="7829"/>
      <c r="AY87" s="7829"/>
      <c r="AZ87" s="7829"/>
      <c r="BA87" s="7829"/>
      <c r="BB87" s="7829"/>
      <c r="BC87" s="7829"/>
      <c r="BD87" s="7829"/>
      <c r="BE87" s="7829"/>
      <c r="BF87" s="7829"/>
      <c r="BG87" s="7829"/>
      <c r="BH87" s="7829"/>
      <c r="BI87" s="7829"/>
      <c r="BJ87" s="7829"/>
      <c r="BK87" s="7829"/>
      <c r="BL87" s="7829"/>
      <c r="BM87" s="7829"/>
      <c r="BN87" s="7829"/>
      <c r="BO87" s="7829"/>
      <c r="BP87" s="7829"/>
      <c r="BQ87" s="7829"/>
      <c r="BR87" s="2977"/>
      <c r="BS87" s="2977"/>
      <c r="BY87" s="1847">
        <v>19</v>
      </c>
    </row>
    <row customHeight="1" ht="29.25">
      <c r="O88" s="1229"/>
      <c r="T88" s="2977"/>
      <c r="U88" s="2977"/>
      <c r="V88" s="2977"/>
      <c r="W88" s="2977"/>
      <c r="X88" s="2977"/>
      <c r="Y88" s="2977"/>
      <c r="Z88" s="2977"/>
      <c r="AA88" s="2977"/>
      <c r="AB88" s="2977"/>
      <c r="AC88" s="2977"/>
      <c r="AD88" s="2977"/>
      <c r="AE88" s="2977"/>
      <c r="AF88" s="2977"/>
      <c r="AG88" s="2977"/>
      <c r="AH88" s="2977"/>
      <c r="AI88" s="2977"/>
      <c r="AJ88" s="2977"/>
      <c r="AK88" s="2977"/>
      <c r="AL88" s="7829"/>
      <c r="AM88" s="7829"/>
      <c r="AN88" s="7829"/>
      <c r="AO88" s="7829"/>
      <c r="AP88" s="7829"/>
      <c r="AQ88" s="7829"/>
      <c r="AR88" s="7829"/>
      <c r="AS88" s="7829"/>
      <c r="AT88" s="7829"/>
      <c r="AU88" s="7829"/>
      <c r="AV88" s="7829"/>
      <c r="AW88" s="7829"/>
      <c r="AX88" s="7829"/>
      <c r="AY88" s="7829"/>
      <c r="AZ88" s="7829"/>
      <c r="BA88" s="7829"/>
      <c r="BB88" s="7829"/>
      <c r="BC88" s="7829"/>
      <c r="BD88" s="7829"/>
      <c r="BE88" s="7829"/>
      <c r="BF88" s="7829"/>
      <c r="BG88" s="7829"/>
      <c r="BH88" s="7829"/>
      <c r="BI88" s="7829"/>
      <c r="BJ88" s="7829"/>
      <c r="BK88" s="7829"/>
      <c r="BL88" s="7829"/>
      <c r="BM88" s="7829"/>
      <c r="BN88" s="7829"/>
      <c r="BO88" s="7829"/>
      <c r="BP88" s="7829"/>
      <c r="BQ88" s="7829"/>
      <c r="BR88" s="2977"/>
      <c r="BS88" s="2977"/>
      <c r="BY88" s="1847">
        <v>28</v>
      </c>
    </row>
    <row customHeight="1" ht="42">
      <c r="O89" s="1229"/>
      <c r="T89" s="2977"/>
      <c r="U89" s="2977"/>
      <c r="V89" s="2977"/>
      <c r="W89" s="2977"/>
      <c r="X89" s="2977"/>
      <c r="Y89" s="2977"/>
      <c r="Z89" s="2977"/>
      <c r="AA89" s="2977"/>
      <c r="AB89" s="2977"/>
      <c r="AC89" s="2977"/>
      <c r="AD89" s="2977"/>
      <c r="AE89" s="2977"/>
      <c r="AF89" s="2977"/>
      <c r="AG89" s="2977"/>
      <c r="AH89" s="2977"/>
      <c r="AI89" s="2977"/>
      <c r="AJ89" s="2977"/>
      <c r="AK89" s="2977"/>
      <c r="AL89" s="7829"/>
      <c r="AM89" s="7829"/>
      <c r="AN89" s="7829"/>
      <c r="AO89" s="7829"/>
      <c r="AP89" s="7829"/>
      <c r="AQ89" s="7829"/>
      <c r="AR89" s="7829"/>
      <c r="AS89" s="7829"/>
      <c r="AT89" s="7829"/>
      <c r="AU89" s="7829"/>
      <c r="AV89" s="7829"/>
      <c r="AW89" s="7829"/>
      <c r="AX89" s="7829"/>
      <c r="AY89" s="7829"/>
      <c r="AZ89" s="7829"/>
      <c r="BA89" s="7829"/>
      <c r="BB89" s="7829"/>
      <c r="BC89" s="7829"/>
      <c r="BD89" s="7829"/>
      <c r="BE89" s="7829"/>
      <c r="BF89" s="7829"/>
      <c r="BG89" s="7829"/>
      <c r="BH89" s="7829"/>
      <c r="BI89" s="7829"/>
      <c r="BJ89" s="7829"/>
      <c r="BK89" s="7829"/>
      <c r="BL89" s="7829"/>
      <c r="BM89" s="7829"/>
      <c r="BN89" s="7829"/>
      <c r="BO89" s="7829"/>
      <c r="BP89" s="7829"/>
      <c r="BQ89" s="7829"/>
      <c r="BR89" s="2977"/>
      <c r="BS89" s="2977"/>
      <c r="BY89" s="1847">
        <v>40</v>
      </c>
    </row>
    <row customHeight="1" ht="14.699999999999998">
      <c r="O90" s="1229"/>
      <c r="AL90" s="7330"/>
      <c r="AM90" s="7330"/>
      <c r="AN90" s="7330"/>
      <c r="AO90" s="7330"/>
      <c r="AP90" s="7330"/>
      <c r="AQ90" s="7330"/>
      <c r="AR90" s="7330"/>
      <c r="AS90" s="7330"/>
      <c r="AT90" s="7330"/>
      <c r="AU90" s="7330"/>
      <c r="AV90" s="7330"/>
      <c r="AW90" s="7330"/>
      <c r="AX90" s="7330"/>
      <c r="AY90" s="7330"/>
      <c r="AZ90" s="7330"/>
      <c r="BA90" s="7330"/>
      <c r="BB90" s="7330"/>
      <c r="BC90" s="7330"/>
      <c r="BD90" s="7330"/>
      <c r="BE90" s="7330"/>
      <c r="BF90" s="7330"/>
      <c r="BG90" s="7330"/>
      <c r="BH90" s="7330"/>
      <c r="BI90" s="7330"/>
      <c r="BJ90" s="7330"/>
      <c r="BK90" s="7330"/>
      <c r="BL90" s="7330"/>
      <c r="BM90" s="7330"/>
      <c r="BN90" s="7330"/>
      <c r="BO90" s="7330"/>
      <c r="BP90" s="7330"/>
      <c r="BQ90" s="7330"/>
      <c r="BY90" s="1847">
        <v>14</v>
      </c>
    </row>
    <row customHeight="1" ht="21">
      <c r="O91" s="1229"/>
      <c r="S91" s="1945"/>
      <c r="T91" s="2991"/>
      <c r="U91" s="2977"/>
      <c r="V91" s="2977"/>
      <c r="W91" s="2977"/>
      <c r="X91" s="2977"/>
      <c r="Y91" s="2977"/>
      <c r="Z91" s="2977"/>
      <c r="AA91" s="2977"/>
      <c r="AB91" s="2977"/>
      <c r="AC91" s="2977"/>
      <c r="AD91" s="2977"/>
      <c r="AE91" s="2977"/>
      <c r="AF91" s="2977"/>
      <c r="AG91" s="2977"/>
      <c r="AH91" s="2977"/>
      <c r="AI91" s="2977"/>
      <c r="AJ91" s="2977"/>
      <c r="AK91" s="2977"/>
      <c r="AL91" s="7829"/>
      <c r="AM91" s="7829"/>
      <c r="AN91" s="7829"/>
      <c r="AO91" s="7829"/>
      <c r="AP91" s="7829"/>
      <c r="AQ91" s="7829"/>
      <c r="AR91" s="7829"/>
      <c r="AS91" s="7829"/>
      <c r="AT91" s="7829"/>
      <c r="AU91" s="7829"/>
      <c r="AV91" s="7829"/>
      <c r="AW91" s="7829"/>
      <c r="AX91" s="7829"/>
      <c r="AY91" s="7829"/>
      <c r="AZ91" s="7829"/>
      <c r="BA91" s="7829"/>
      <c r="BB91" s="7829"/>
      <c r="BC91" s="7829"/>
      <c r="BD91" s="7829"/>
      <c r="BE91" s="7829"/>
      <c r="BF91" s="7829"/>
      <c r="BG91" s="7829"/>
      <c r="BH91" s="7829"/>
      <c r="BI91" s="7829"/>
      <c r="BJ91" s="7829"/>
      <c r="BK91" s="7829"/>
      <c r="BL91" s="7829"/>
      <c r="BM91" s="7829"/>
      <c r="BN91" s="7829"/>
      <c r="BO91" s="7829"/>
      <c r="BP91" s="7829"/>
      <c r="BQ91" s="7829"/>
      <c r="BR91" s="2977"/>
      <c r="BS91" s="2977"/>
      <c r="BY91" s="1847">
        <v>20</v>
      </c>
    </row>
    <row customHeight="1" ht="29.25">
      <c r="O92" s="1229"/>
      <c r="T92" s="2977"/>
      <c r="U92" s="2977"/>
      <c r="V92" s="2977"/>
      <c r="W92" s="2977"/>
      <c r="X92" s="2977"/>
      <c r="Y92" s="2977"/>
      <c r="Z92" s="2977"/>
      <c r="AA92" s="2977"/>
      <c r="AB92" s="2977"/>
      <c r="AC92" s="2977"/>
      <c r="AD92" s="2977"/>
      <c r="AE92" s="2977"/>
      <c r="AF92" s="2977"/>
      <c r="AG92" s="2977"/>
      <c r="AH92" s="2977"/>
      <c r="AI92" s="2977"/>
      <c r="AJ92" s="2977"/>
      <c r="AK92" s="2977"/>
      <c r="AL92" s="7829"/>
      <c r="AM92" s="7829"/>
      <c r="AN92" s="7829"/>
      <c r="AO92" s="7829"/>
      <c r="AP92" s="7829"/>
      <c r="AQ92" s="7829"/>
      <c r="AR92" s="7829"/>
      <c r="AS92" s="7829"/>
      <c r="AT92" s="7829"/>
      <c r="AU92" s="7829"/>
      <c r="AV92" s="7829"/>
      <c r="AW92" s="7829"/>
      <c r="AX92" s="7829"/>
      <c r="AY92" s="7829"/>
      <c r="AZ92" s="7829"/>
      <c r="BA92" s="7829"/>
      <c r="BB92" s="7829"/>
      <c r="BC92" s="7829"/>
      <c r="BD92" s="7829"/>
      <c r="BE92" s="7829"/>
      <c r="BF92" s="7829"/>
      <c r="BG92" s="7829"/>
      <c r="BH92" s="7829"/>
      <c r="BI92" s="7829"/>
      <c r="BJ92" s="7829"/>
      <c r="BK92" s="7829"/>
      <c r="BL92" s="7829"/>
      <c r="BM92" s="7829"/>
      <c r="BN92" s="7829"/>
      <c r="BO92" s="7829"/>
      <c r="BP92" s="7829"/>
      <c r="BQ92" s="7829"/>
      <c r="BR92" s="2977"/>
      <c r="BS92" s="2977"/>
      <c r="BY92" s="1847">
        <v>28</v>
      </c>
    </row>
    <row customHeight="1" ht="35.699999999999996">
      <c r="T93" s="2977"/>
      <c r="U93" s="2977"/>
      <c r="V93" s="2977"/>
      <c r="W93" s="2977"/>
      <c r="X93" s="2977"/>
      <c r="Y93" s="2977"/>
      <c r="Z93" s="2977"/>
      <c r="AA93" s="2977"/>
      <c r="AB93" s="2977"/>
      <c r="AC93" s="2977"/>
      <c r="AD93" s="2977"/>
      <c r="AE93" s="2977"/>
      <c r="AF93" s="2977"/>
      <c r="AG93" s="2977"/>
      <c r="AH93" s="2977"/>
      <c r="AI93" s="2977"/>
      <c r="AJ93" s="2977"/>
      <c r="AK93" s="2977"/>
      <c r="AL93" s="7829"/>
      <c r="AM93" s="7829"/>
      <c r="AN93" s="7829"/>
      <c r="AO93" s="7829"/>
      <c r="AP93" s="7829"/>
      <c r="AQ93" s="7829"/>
      <c r="AR93" s="7829"/>
      <c r="AS93" s="7829"/>
      <c r="AT93" s="7829"/>
      <c r="AU93" s="7829"/>
      <c r="AV93" s="7829"/>
      <c r="AW93" s="7829"/>
      <c r="AX93" s="7829"/>
      <c r="AY93" s="7829"/>
      <c r="AZ93" s="7829"/>
      <c r="BA93" s="7829"/>
      <c r="BB93" s="7829"/>
      <c r="BC93" s="7829"/>
      <c r="BD93" s="7829"/>
      <c r="BE93" s="7829"/>
      <c r="BF93" s="7829"/>
      <c r="BG93" s="7829"/>
      <c r="BH93" s="7829"/>
      <c r="BI93" s="7829"/>
      <c r="BJ93" s="7829"/>
      <c r="BK93" s="7829"/>
      <c r="BL93" s="7829"/>
      <c r="BM93" s="7829"/>
      <c r="BN93" s="7829"/>
      <c r="BO93" s="7829"/>
      <c r="BP93" s="7829"/>
      <c r="BQ93" s="7829"/>
      <c r="BR93" s="2977"/>
      <c r="BS93" s="2977"/>
      <c r="BY93" s="1847">
        <v>34</v>
      </c>
    </row>
    <row customHeight="1" ht="22.5" hidden="1">
      <c r="A94" s="1852" t="s">
        <v>83</v>
      </c>
      <c r="B94" s="1852">
        <v>0</v>
      </c>
      <c r="C94" s="1852">
        <v>0</v>
      </c>
      <c r="D94" s="1852">
        <v>0</v>
      </c>
      <c r="E94" s="1852">
        <v>0</v>
      </c>
      <c r="F94" s="1852">
        <v>0</v>
      </c>
      <c r="G94" s="1852">
        <v>0</v>
      </c>
      <c r="H94" s="1852">
        <v>0</v>
      </c>
      <c r="I94" s="1852">
        <v>0</v>
      </c>
      <c r="J94" s="1852">
        <v>0</v>
      </c>
      <c r="K94" s="1852">
        <v>0</v>
      </c>
      <c r="L94" s="2021">
        <v>0</v>
      </c>
      <c r="M94" s="2054">
        <v>0</v>
      </c>
      <c r="N94" s="2054">
        <v>0</v>
      </c>
      <c r="O94" s="2054">
        <v>0</v>
      </c>
      <c r="P94" s="2020">
        <v>0</v>
      </c>
      <c r="Q94" s="1036">
        <v>3</v>
      </c>
      <c r="R94" s="1036">
        <v>3</v>
      </c>
      <c r="S94" s="1273">
        <v>12</v>
      </c>
      <c r="T94" s="1847">
        <v>31</v>
      </c>
      <c r="U94" s="1847">
        <v>0</v>
      </c>
      <c r="V94" s="1847">
        <v>0</v>
      </c>
      <c r="W94" s="1847">
        <v>0</v>
      </c>
      <c r="X94" s="1847">
        <v>0</v>
      </c>
      <c r="Y94" s="1847">
        <v>0</v>
      </c>
      <c r="Z94" s="1847">
        <v>0</v>
      </c>
      <c r="AA94" s="1847">
        <v>0</v>
      </c>
      <c r="AB94" s="1847">
        <v>0</v>
      </c>
      <c r="AC94" s="1847">
        <v>0</v>
      </c>
      <c r="AD94" s="1847">
        <v>24</v>
      </c>
      <c r="AE94" s="1847">
        <v>0</v>
      </c>
      <c r="AF94" s="1847">
        <v>24</v>
      </c>
      <c r="AG94" s="1847">
        <v>24</v>
      </c>
      <c r="AH94" s="1847">
        <v>11</v>
      </c>
      <c r="AI94" s="1847">
        <v>3</v>
      </c>
      <c r="AJ94" s="1847">
        <v>11</v>
      </c>
      <c r="AK94" s="1847">
        <v>0</v>
      </c>
      <c r="AL94" s="7330">
        <v>0</v>
      </c>
      <c r="AM94" s="7330">
        <v>0</v>
      </c>
      <c r="AN94" s="7330">
        <v>0</v>
      </c>
      <c r="AO94" s="7330">
        <v>0</v>
      </c>
      <c r="AP94" s="7330">
        <v>0</v>
      </c>
      <c r="AQ94" s="7330">
        <v>0</v>
      </c>
      <c r="AR94" s="7330">
        <v>0</v>
      </c>
      <c r="AS94" s="7330">
        <v>0</v>
      </c>
      <c r="AT94" s="7330">
        <v>0</v>
      </c>
      <c r="AU94" s="7330">
        <v>0</v>
      </c>
      <c r="AV94" s="7330">
        <v>0</v>
      </c>
      <c r="AW94" s="7330">
        <v>0</v>
      </c>
      <c r="AX94" s="7330">
        <v>0</v>
      </c>
      <c r="AY94" s="7330">
        <v>0</v>
      </c>
      <c r="AZ94" s="7330">
        <v>0</v>
      </c>
      <c r="BA94" s="7330">
        <v>0</v>
      </c>
      <c r="BB94" s="7330">
        <v>0</v>
      </c>
      <c r="BC94" s="7330">
        <v>0</v>
      </c>
      <c r="BD94" s="7330">
        <v>0</v>
      </c>
      <c r="BE94" s="7330">
        <v>0</v>
      </c>
      <c r="BF94" s="7330">
        <v>0</v>
      </c>
      <c r="BG94" s="7330">
        <v>0</v>
      </c>
      <c r="BH94" s="7330">
        <v>0</v>
      </c>
      <c r="BI94" s="7330">
        <v>0</v>
      </c>
      <c r="BJ94" s="7330">
        <v>0</v>
      </c>
      <c r="BK94" s="7330">
        <v>0</v>
      </c>
      <c r="BL94" s="7330">
        <v>0</v>
      </c>
      <c r="BM94" s="7330">
        <v>0</v>
      </c>
      <c r="BN94" s="7330">
        <v>0</v>
      </c>
      <c r="BO94" s="7330">
        <v>0</v>
      </c>
      <c r="BP94" s="7330">
        <v>0</v>
      </c>
      <c r="BQ94" s="7330">
        <v>0</v>
      </c>
      <c r="BR94" s="1847">
        <v>4</v>
      </c>
      <c r="BS94" s="1847">
        <v>115</v>
      </c>
      <c r="BT94" s="1203">
        <v>10</v>
      </c>
      <c r="BU94" s="1203">
        <v>10</v>
      </c>
      <c r="BV94" s="1203">
        <v>10</v>
      </c>
      <c r="BW94" s="1203">
        <v>10</v>
      </c>
      <c r="BX94" s="1203">
        <v>10</v>
      </c>
      <c r="BY94" s="1847">
        <v>23</v>
      </c>
    </row>
  </sheetData>
  <sheetProtection sheet="1" formatColumns="0" formatRows="0" autoFilter="0" sort="1" insertRows="1" insertColumns="1" deleteRows="1" deleteColumns="1"/>
  <mergeCells count="297">
    <mergeCell ref="T92:BS92"/>
    <mergeCell ref="T93:BS93"/>
    <mergeCell ref="S35:T35"/>
    <mergeCell ref="V35:AB35"/>
    <mergeCell ref="AD35:AJ35"/>
    <mergeCell ref="S34:T34"/>
    <mergeCell ref="V34:AB34"/>
    <mergeCell ref="AD34:AJ34"/>
    <mergeCell ref="V2:AC2"/>
    <mergeCell ref="AD2:BR2"/>
    <mergeCell ref="V3:AC3"/>
    <mergeCell ref="AD3:BR3"/>
    <mergeCell ref="V4:AC4"/>
    <mergeCell ref="AD4:BR4"/>
    <mergeCell ref="V5:AC5"/>
    <mergeCell ref="AD5:BR5"/>
    <mergeCell ref="V6:AC6"/>
    <mergeCell ref="AD6:BR6"/>
    <mergeCell ref="V7:AC7"/>
    <mergeCell ref="AD7:BR7"/>
    <mergeCell ref="T91:BS91"/>
    <mergeCell ref="T89:BS89"/>
    <mergeCell ref="AJ49:AJ50"/>
    <mergeCell ref="AK49:AK50"/>
    <mergeCell ref="BS49:BS51"/>
    <mergeCell ref="T87:BS87"/>
    <mergeCell ref="T88:BS88"/>
    <mergeCell ref="AA42:AB42"/>
    <mergeCell ref="AI42:AJ42"/>
    <mergeCell ref="E43:E56"/>
    <mergeCell ref="V43:AC43"/>
    <mergeCell ref="AD43:BR43"/>
    <mergeCell ref="F44:F55"/>
    <mergeCell ref="V44:AC44"/>
    <mergeCell ref="AD44:BR44"/>
    <mergeCell ref="G45:G54"/>
    <mergeCell ref="V45:AC45"/>
    <mergeCell ref="AD45:BR45"/>
    <mergeCell ref="H46:H53"/>
    <mergeCell ref="V46:AC46"/>
    <mergeCell ref="AD46:BR46"/>
    <mergeCell ref="P47:P52"/>
    <mergeCell ref="J48:J51"/>
    <mergeCell ref="Q48:Q51"/>
    <mergeCell ref="V48:AC48"/>
    <mergeCell ref="AD48:BR48"/>
    <mergeCell ref="K49:K50"/>
    <mergeCell ref="Z49:Z50"/>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BS8:BS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BR38"/>
    <mergeCell ref="S26:AJ26"/>
    <mergeCell ref="S27:AJ27"/>
    <mergeCell ref="AC49:AC50"/>
    <mergeCell ref="AA49:AA50"/>
    <mergeCell ref="AB49:AB50"/>
    <mergeCell ref="AH49:AH50"/>
    <mergeCell ref="AI49:AI50"/>
    <mergeCell ref="V47:AC47"/>
    <mergeCell ref="AD47:BR47"/>
    <mergeCell ref="AD31:AJ31"/>
    <mergeCell ref="AD32:AJ32"/>
    <mergeCell ref="AE40:AE41"/>
    <mergeCell ref="AF40:AG40"/>
    <mergeCell ref="AH40:AJ40"/>
    <mergeCell ref="AI41:AJ41"/>
    <mergeCell ref="AD37:AK37"/>
    <mergeCell ref="V57:AC57"/>
    <mergeCell ref="AD57:BR57"/>
    <mergeCell ref="V58:AC58"/>
    <mergeCell ref="AD58:BR58"/>
    <mergeCell ref="V59:AC59"/>
    <mergeCell ref="AD59:BR59"/>
    <mergeCell ref="V60:AC60"/>
    <mergeCell ref="AD60:BR60"/>
    <mergeCell ref="V61:AC61"/>
    <mergeCell ref="AD61:BR61"/>
    <mergeCell ref="V62:AC62"/>
    <mergeCell ref="AD62:BR62"/>
    <mergeCell ref="BS63:BS65"/>
    <mergeCell ref="Z63:Z64"/>
    <mergeCell ref="AA63:AA64"/>
    <mergeCell ref="AH63:AH64"/>
    <mergeCell ref="AI63:AI64"/>
    <mergeCell ref="AJ63:AJ64"/>
    <mergeCell ref="AK63:AK64"/>
    <mergeCell ref="AB63:AB64"/>
    <mergeCell ref="AC63:AC64"/>
    <mergeCell ref="E57:E70"/>
    <mergeCell ref="F58:F69"/>
    <mergeCell ref="G59:G68"/>
    <mergeCell ref="H60:H67"/>
    <mergeCell ref="I61:I66"/>
    <mergeCell ref="P61:P66"/>
    <mergeCell ref="J62:J65"/>
    <mergeCell ref="Q62:Q65"/>
    <mergeCell ref="K63:K64"/>
    <mergeCell ref="V71:AC71"/>
    <mergeCell ref="AD71:BR71"/>
    <mergeCell ref="V72:AC72"/>
    <mergeCell ref="AD72:BR72"/>
    <mergeCell ref="V73:AC73"/>
    <mergeCell ref="AD73:BR73"/>
    <mergeCell ref="V74:AC74"/>
    <mergeCell ref="AD74:BR74"/>
    <mergeCell ref="V75:AC75"/>
    <mergeCell ref="AD75:BR75"/>
    <mergeCell ref="V76:AC76"/>
    <mergeCell ref="AD76:BR76"/>
    <mergeCell ref="BS77:BS79"/>
    <mergeCell ref="Z77:Z78"/>
    <mergeCell ref="AA77:AA78"/>
    <mergeCell ref="AH77:AH78"/>
    <mergeCell ref="AI77:AI78"/>
    <mergeCell ref="AJ77:AJ78"/>
    <mergeCell ref="AK77:AK78"/>
    <mergeCell ref="AB77:AB78"/>
    <mergeCell ref="AC77:AC78"/>
    <mergeCell ref="E71:E84"/>
    <mergeCell ref="F72:F83"/>
    <mergeCell ref="G73:G82"/>
    <mergeCell ref="H74:H81"/>
    <mergeCell ref="I75:I80"/>
    <mergeCell ref="P75:P80"/>
    <mergeCell ref="J76:J79"/>
    <mergeCell ref="Q76:Q79"/>
    <mergeCell ref="K77:K78"/>
    <mergeCell ref="AL35:AR35"/>
    <mergeCell ref="AL34:AR34"/>
    <mergeCell ref="AP8:AP9"/>
    <mergeCell ref="AQ8:AQ9"/>
    <mergeCell ref="AR8:AR9"/>
    <mergeCell ref="AS8:AS9"/>
    <mergeCell ref="AL29:AR29"/>
    <mergeCell ref="AL30:AR30"/>
    <mergeCell ref="AL31:AR31"/>
    <mergeCell ref="AL32:AR32"/>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63:AP64"/>
    <mergeCell ref="AQ63:AQ64"/>
    <mergeCell ref="AR63:AR64"/>
    <mergeCell ref="AS63:AS64"/>
    <mergeCell ref="AP77:AP78"/>
    <mergeCell ref="AQ77:AQ78"/>
    <mergeCell ref="AR77:AR78"/>
    <mergeCell ref="AS77:AS78"/>
    <mergeCell ref="AT35:AZ35"/>
    <mergeCell ref="AT34:AZ34"/>
    <mergeCell ref="AX8:AX9"/>
    <mergeCell ref="AY8:AY9"/>
    <mergeCell ref="AZ8:AZ9"/>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63:AX64"/>
    <mergeCell ref="AY63:AY64"/>
    <mergeCell ref="AZ63:AZ64"/>
    <mergeCell ref="BA63:BA64"/>
    <mergeCell ref="AX77:AX78"/>
    <mergeCell ref="AY77:AY78"/>
    <mergeCell ref="AZ77:AZ78"/>
    <mergeCell ref="BA77:BA78"/>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63:BF64"/>
    <mergeCell ref="BG63:BG64"/>
    <mergeCell ref="BH63:BH64"/>
    <mergeCell ref="BI63:BI64"/>
    <mergeCell ref="BF77:BF78"/>
    <mergeCell ref="BG77:BG78"/>
    <mergeCell ref="BH77:BH78"/>
    <mergeCell ref="BI77:BI78"/>
    <mergeCell ref="BJ35:BP35"/>
    <mergeCell ref="BJ34:BP34"/>
    <mergeCell ref="BN8:BN9"/>
    <mergeCell ref="BO8:BO9"/>
    <mergeCell ref="BP8:BP9"/>
    <mergeCell ref="BQ8:BQ9"/>
    <mergeCell ref="BJ29:BP29"/>
    <mergeCell ref="BJ30:BP30"/>
    <mergeCell ref="BJ31:BP31"/>
    <mergeCell ref="BJ32:BP32"/>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63:BN64"/>
    <mergeCell ref="BO63:BO64"/>
    <mergeCell ref="BP63:BP64"/>
    <mergeCell ref="BQ63:BQ64"/>
    <mergeCell ref="BN77:BN78"/>
    <mergeCell ref="BO77:BO78"/>
    <mergeCell ref="BP77:BP78"/>
    <mergeCell ref="BQ77:BQ78"/>
  </mergeCells>
  <dataValidations count="8">
    <dataValidation allowBlank="1" promptTitle="checkPeriodRange" sqref="Y65614 Y131150 Y196686 Y262222 Y327758 Y393294 Y458830 Y524366 Y589902 Y655438 Y720974 Y786510 Y852046 Y917582 Y983118 Y9 AG65614 AG131150 AG196686 AG262222 AG327758 AG393294 AG458830 AG524366 AG589902 AG655438 AG720974 AG786510 AG852046 AG917582 AG983118 AG9 AG50 AG18 Y50 Y64 AG64 Y78 AG78 AO9 AO50 AO64 AO78 AW9 AW50 AW64 AW78 BE9 BE50 BE64 BE78 BM9 BM50 BM64 BM78"/>
    <dataValidation allowBlank="1" showInputMessage="1" showErrorMessage="1" prompt="Для выбора выполните двойной щелчок левой клавиши мыши по соответствующей ячейке." sqref="AA65613 AA131149 AA196685 AA262221 AA327757 AA393293 AA458829 AA524365 AA589901 AA655437 AA720973 AA786509 AA852045 AA917581 AA983117 AC131149 AC458829 AC196685 AC262221 AC327757 AC393293 AC524365 AC589901 AC655437 AC720973 AC786509 AC852045 AC917581 AC983117 AC65613 AI65613 AI131149 AI196685 AI262221 AI327757 AI393293 AI458829 AI524365 AI589901 AI655437 AI720973 AI786509 AI852045 AI917581 AI983117 AK393293:BQ393293 AK49 AQ49 AS49 AY49 BA49 BG49 BI49 BO49 BQ49 AK524365:BQ524365 AK8 AQ8 AS8 AY8 BA8 BG8 BI8 BO8 BQ8 AK589901:BQ589901 AK655437:BQ655437 AK17 AK720973:BQ720973 AK786509:BQ786509 AK852045:BQ852045 AK917581:BQ917581 AK983117:BQ983117 AK65613:BQ65613 AK131149:BQ131149 AK458829:BQ458829 AI49 AK196685:BQ196685 AI8 AC8 AA8 AI17 AK262221:BQ262221 AA49 AC49 AK327757:BQ327757 AA63 AC63 AI63 AK63 AQ63 AS63 AY63 BA63 BG63 BI63 BO63 BQ63 AA77 AC77 AI77 AK77 AQ77 AS77 AY77 BA77 BG77 BI77 BO77 BQ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3 Z131149 Z196685 Z262221 Z327757 Z393293 Z458829 Z524365 Z589901 Z655437 Z720973 Z786509 Z852045 Z917581 Z983117 AB65613 AB131149 AB196685 AB262221 AB327757 AB393293 AB458829 AB524365 AB589901 AB655437 AB720973 AB786509 AB852045 AB917581 AB983117 Z8 AH65613 AH131149 AH196685 AH262221 AH327757 AH393293 AH458829 AH524365 AH589901 AH655437 AH720973 AH786509 AH852045 AH917581 AH983117 AJ65613 AJ131149 AJ196685 AJ262221 AJ327757 AJ393293 AJ458829 AJ524365 AJ589901 AJ655437 AJ720973 AJ786509 AJ852045 AJ917581 AJ983117 AJ49 AH49 AH8 AJ8 AB8 AH17 AJ17 Z49 AB49 Z63 AB63 AH63 AJ63 Z77 AB77 AH77 AJ77 AP8 AR8 AP49 AR49 AP63 AR63 AP77 AR77 AX8 AZ8 AX49 AZ49 AX63 AZ63 AX77 AZ77 BF8 BH8 BF49 BH49 BF63 BH63 BF77 BH77 BN8 BP8 BN49 BP49 BN63 BP63 BN77 BP77"/>
    <dataValidation type="list" allowBlank="1" showInputMessage="1" showErrorMessage="1" errorTitle="Ошибка" error="Выберите значение из списка" sqref="T65613 T131149 T196685 T262221 T327757 T393293 T458829 T524365 T589901 T655437 T720973 T786509 T852045 T917581 T983117">
      <formula1>kind_of_heat_transfer</formula1>
    </dataValidation>
    <dataValidation type="textLength" operator="lessThanOrEqual" allowBlank="1" showInputMessage="1" showErrorMessage="1" errorTitle="Ошибка" error="Допускается ввод не более 900 символов!" sqref="BS65607:BS65614 BS131143:BS131150 BS196679:BS196686 BS262215:BS262222 BS327751:BS327758 BS393287:BS393294 BS458823:BS458830 BS524359:BS524366 BS589895:BS589902 BS655431:BS655438 BS720967:BS720974 BS786503:BS786510 BS852039:BS852046 BS917575:BS917582 BS983111:BS983118">
      <formula1>900</formula1>
    </dataValidation>
    <dataValidation type="list" allowBlank="1" showInputMessage="1" showErrorMessage="1" errorTitle="Ошибка" error="Выберите значение из списка" sqref="V983115:W983115 V65611:W65611 V131147:W131147 V196683:W196683 V262219:W262219 V327755:W327755 V393291:W393291 V458827:W458827 V524363:W524363 V589899:W589899 V655435:W655435 V720971:W720971 V786507:W786507 V852043:W852043 V917579:W917579 AD983115:AE983115 AD65611:AE65611 AD131147:AE131147 AD196683:AE196683 AD262219:AE262219 AD327755:AE327755 AD393291:AE393291 AD458827:AE458827 AD524363:AE524363 AD589899:AE589899 AD655435:AE655435 AD720971:AE720971 AD786507:AE786507 AD852043:AE852043 AD917579:AE917579">
      <formula1>kind_of_scheme_in</formula1>
    </dataValidation>
    <dataValidation type="list" allowBlank="1" showInputMessage="1" errorTitle="Ошибка" error="Выберите значение из списка" prompt="Выберите значение из списка" sqref="V983116:BR983116 V65612:BR65612 V131148:BR131148 V196684:BR196684 V262220:BR262220 V327756:BR327756 V393292:BR393292 V458828:BR458828 V524364:BR524364 V589900:BR589900 V655436:BR655436 V720972:BR720972 V786508:BR786508 V852044:BR852044 V917580:BR917580">
      <formula1>kind_of_cons</formula1>
    </dataValidation>
    <dataValidation allowBlank="1" sqref="S131151:BS131157 S196687:BS196693 S262223:BS262229 S327759:BS327765 S393295:BS393301 S458831:BS458837 S524367:BS524373 S589903:BS589909 S655439:BS655445 S720975:BS720981 S786511:BS786517 S852047:BS852053 S917583:BS917589 S983119:BS983125 S65615:BS6562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49D017-95C9-4E81-328C-3B5F56C4C421}"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2.00390625" hidden="1" customWidth="1"/>
    <col min="10" max="10" style="62148" width="9.8515625" hidden="1" customWidth="1"/>
    <col min="11" max="11" style="62148" width="11.421875" hidden="1" customWidth="1"/>
    <col min="12" max="12" style="63164" width="19.140625" hidden="1" customWidth="1"/>
    <col min="13" max="14" style="61371" width="12.28125" hidden="1" customWidth="1"/>
    <col min="15" max="15" style="61371" width="23.421875" hidden="1" customWidth="1"/>
    <col min="16" max="16" style="63184" width="3.7109375" hidden="1" customWidth="1"/>
    <col min="17" max="18" style="62288" width="3.00390625" customWidth="1"/>
    <col min="19" max="19" style="63156" width="12.00390625" customWidth="1"/>
    <col min="20" max="20" style="62286" width="31.00390625" customWidth="1"/>
    <col min="21" max="21" style="62286" width="0.140625" customWidth="1"/>
    <col min="22" max="22" style="62286" width="24.7109375" hidden="1" customWidth="1"/>
    <col min="23" max="23" style="62286" width="0.140625" hidden="1" customWidth="1"/>
    <col min="24" max="25" style="62286" width="24.7109375" hidden="1" customWidth="1"/>
    <col min="26" max="26" style="62286" width="11.7109375" hidden="1" customWidth="1"/>
    <col min="27" max="27" style="62286" width="3.7109375" hidden="1" customWidth="1"/>
    <col min="28" max="28" style="62286" width="11.7109375" hidden="1" customWidth="1"/>
    <col min="29" max="29" style="62286" width="8.57421875" hidden="1" customWidth="1"/>
    <col min="30" max="30" style="62286" width="24.7109375" customWidth="1"/>
    <col min="31" max="31" style="62286" width="0.140625" customWidth="1"/>
    <col min="32" max="33" style="62286" width="24.00390625" customWidth="1"/>
    <col min="34" max="34" style="62286" width="11.00390625" customWidth="1"/>
    <col min="35" max="35" style="62286" width="3.7109375" customWidth="1"/>
    <col min="36" max="36" style="62286" width="11.00390625" customWidth="1"/>
    <col min="37" max="37" style="62286" width="8.57421875" hidden="1" customWidth="1"/>
    <col min="38" max="38" style="62286" width="4.00390625" customWidth="1"/>
    <col min="39" max="39" style="62286" width="115.00390625" customWidth="1"/>
    <col min="40" max="44" style="61695" width="10.00390625" customWidth="1"/>
    <col min="45" max="45" style="62286" width="10.57421875" hidden="1"/>
  </cols>
  <sheetData>
    <row customHeight="1" ht="22.5" hidden="1">
      <c r="A1" s="2563"/>
      <c r="Y1" s="1019"/>
      <c r="Z1" s="1019"/>
      <c r="AG1" s="1019"/>
      <c r="AH1" s="1019"/>
      <c r="AS1" s="1847" t="s">
        <v>14</v>
      </c>
    </row>
    <row customHeight="1" ht="21" hidden="1">
      <c r="A2" s="2055"/>
      <c r="B2" s="2055"/>
      <c r="C2" s="2055"/>
      <c r="D2" s="2055"/>
      <c r="E2" s="2950">
        <v>1</v>
      </c>
      <c r="F2" s="2055"/>
      <c r="G2" s="2055"/>
      <c r="H2" s="2055"/>
      <c r="I2" s="2055"/>
      <c r="J2" s="2055"/>
      <c r="K2" s="2055"/>
      <c r="L2" s="2056"/>
      <c r="M2" s="2057"/>
      <c r="N2" s="2057"/>
      <c r="O2" s="2057"/>
      <c r="P2" s="1053"/>
      <c r="Q2" s="1052"/>
      <c r="R2" s="1047"/>
      <c r="S2" s="2028">
        <f>INDEX(PT_DIFFERENTIATION_NUM_NTAR,MATCH(A2,PT_DIFFERENTIATION_NTAR_ID,0))</f>
      </c>
      <c r="T2" s="990" t="s">
        <v>131</v>
      </c>
      <c r="U2" s="992"/>
      <c r="V2" s="2934"/>
      <c r="W2" s="2935"/>
      <c r="X2" s="2935"/>
      <c r="Y2" s="2935"/>
      <c r="Z2" s="2935"/>
      <c r="AA2" s="2935"/>
      <c r="AB2" s="2935"/>
      <c r="AC2" s="2936"/>
      <c r="AD2" s="2934">
        <f>INDEX(PT_DIFFERENTIATION_NTAR,MATCH(A2,PT_DIFFERENTIATION_NTAR_ID,0))</f>
      </c>
      <c r="AE2" s="2935"/>
      <c r="AF2" s="2935"/>
      <c r="AG2" s="2935"/>
      <c r="AH2" s="2935"/>
      <c r="AI2" s="2935"/>
      <c r="AJ2" s="2935"/>
      <c r="AK2" s="2935"/>
      <c r="AL2" s="2936"/>
      <c r="AM2" s="1950" t="s">
        <v>471</v>
      </c>
      <c r="AO2" s="1192"/>
      <c r="AP2" s="1192" t="str">
        <f>IF(T2="","",T2)</f>
        <v>Наименование тарифа</v>
      </c>
      <c r="AQ2" s="1192"/>
      <c r="AR2" s="1192"/>
      <c r="AS2" s="1847">
        <v>0</v>
      </c>
    </row>
    <row customHeight="1" ht="21" hidden="1">
      <c r="A3" s="2055"/>
      <c r="B3" s="2055"/>
      <c r="C3" s="2055"/>
      <c r="D3" s="2055"/>
      <c r="E3" s="2951"/>
      <c r="F3" s="2950">
        <v>1</v>
      </c>
      <c r="G3" s="2055"/>
      <c r="H3" s="2055"/>
      <c r="I3" s="2055"/>
      <c r="J3" s="2055"/>
      <c r="K3" s="2055"/>
      <c r="L3" s="2056"/>
      <c r="M3" s="2057"/>
      <c r="N3" s="2057"/>
      <c r="O3" s="2057"/>
      <c r="P3" s="2024"/>
      <c r="Q3" s="1044"/>
      <c r="R3" s="1045"/>
      <c r="S3" s="2028">
        <f>INDEX(PT_DIFFERENTIATION_NUM_TER,MATCH(B3,PT_DIFFERENTIATION_TER_ID,0))</f>
      </c>
      <c r="T3" s="1000" t="s">
        <v>472</v>
      </c>
      <c r="U3" s="992"/>
      <c r="V3" s="2934"/>
      <c r="W3" s="2935"/>
      <c r="X3" s="2935"/>
      <c r="Y3" s="2935"/>
      <c r="Z3" s="2935"/>
      <c r="AA3" s="2935"/>
      <c r="AB3" s="2935"/>
      <c r="AC3" s="2936"/>
      <c r="AD3" s="2934">
        <f>INDEX(PT_DIFFERENTIATION_TER,MATCH(B3,PT_DIFFERENTIATION_TER_ID,0))</f>
      </c>
      <c r="AE3" s="2935"/>
      <c r="AF3" s="2935"/>
      <c r="AG3" s="2935"/>
      <c r="AH3" s="2935"/>
      <c r="AI3" s="2935"/>
      <c r="AJ3" s="2935"/>
      <c r="AK3" s="2935"/>
      <c r="AL3" s="2936"/>
      <c r="AM3" s="1950" t="s">
        <v>473</v>
      </c>
      <c r="AO3" s="1192"/>
      <c r="AP3" s="1192" t="str">
        <f>IF(T3="","",T3)</f>
        <v>Территория действия тарифа</v>
      </c>
      <c r="AQ3" s="1192"/>
      <c r="AR3" s="1192"/>
      <c r="AS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700">
        <f>INDEX(PT_DIFFERENTIATION_NUM_CS,MATCH(C4,PT_DIFFERENTIATION_CS_ID,0))</f>
      </c>
      <c r="T4" s="2704" t="s">
        <v>474</v>
      </c>
      <c r="U4" s="2705"/>
      <c r="V4" s="2992"/>
      <c r="W4" s="2993"/>
      <c r="X4" s="2993"/>
      <c r="Y4" s="2993"/>
      <c r="Z4" s="2993"/>
      <c r="AA4" s="2993"/>
      <c r="AB4" s="2993"/>
      <c r="AC4" s="2994"/>
      <c r="AD4" s="2992">
        <f>INDEX(PT_DIFFERENTIATION_CS,MATCH(C4,PT_DIFFERENTIATION_CS_ID,0))</f>
      </c>
      <c r="AE4" s="2993"/>
      <c r="AF4" s="2993"/>
      <c r="AG4" s="2993"/>
      <c r="AH4" s="2993"/>
      <c r="AI4" s="2993"/>
      <c r="AJ4" s="2993"/>
      <c r="AK4" s="2993"/>
      <c r="AL4" s="2994"/>
      <c r="AM4" s="1950" t="s">
        <v>475</v>
      </c>
      <c r="AO4" s="1192"/>
      <c r="AP4" s="1192" t="str">
        <f>IF(T4="","",T4)</f>
        <v>Наименование системы теплоснабжения </v>
      </c>
      <c r="AQ4" s="1192"/>
      <c r="AR4" s="1192"/>
      <c r="AS4" s="1847">
        <v>0</v>
      </c>
    </row>
    <row customHeight="1" ht="21" hidden="1">
      <c r="A5" s="2055"/>
      <c r="B5" s="2055"/>
      <c r="C5" s="2055"/>
      <c r="D5" s="2055"/>
      <c r="E5" s="2951"/>
      <c r="F5" s="2951"/>
      <c r="G5" s="2951"/>
      <c r="H5" s="2950">
        <v>1</v>
      </c>
      <c r="I5" s="2055"/>
      <c r="J5" s="2055"/>
      <c r="K5" s="2055"/>
      <c r="L5" s="2056"/>
      <c r="M5" s="2057"/>
      <c r="N5" s="2057"/>
      <c r="O5" s="2057"/>
      <c r="P5" s="1046"/>
      <c r="Q5" s="1044"/>
      <c r="R5" s="2327"/>
      <c r="S5" s="2699">
        <f>INDEX(PT_DIFFERENTIATION_NUM_IST_TE,MATCH(D5,PT_DIFFERENTIATION_IST_TE_ID,0))</f>
      </c>
      <c r="T5" s="1002" t="s">
        <v>476</v>
      </c>
      <c r="U5" s="992"/>
      <c r="V5" s="2995"/>
      <c r="W5" s="2995"/>
      <c r="X5" s="2995"/>
      <c r="Y5" s="2995"/>
      <c r="Z5" s="2995"/>
      <c r="AA5" s="2995"/>
      <c r="AB5" s="2995"/>
      <c r="AC5" s="2995"/>
      <c r="AD5" s="2995">
        <f>INDEX(PT_DIFFERENTIATION_IST_TE,MATCH(D5,PT_DIFFERENTIATION_IST_TE_ID,0))</f>
      </c>
      <c r="AE5" s="2995"/>
      <c r="AF5" s="2995"/>
      <c r="AG5" s="2995"/>
      <c r="AH5" s="2995"/>
      <c r="AI5" s="2995"/>
      <c r="AJ5" s="2995"/>
      <c r="AK5" s="2995"/>
      <c r="AL5" s="2995"/>
      <c r="AM5" s="2702" t="s">
        <v>477</v>
      </c>
      <c r="AO5" s="1192"/>
      <c r="AP5" s="1192" t="str">
        <f>IF(T5="","",T5)</f>
        <v>Источник тепловой энергии  </v>
      </c>
      <c r="AQ5" s="1192"/>
      <c r="AR5" s="1192"/>
      <c r="AS5" s="1847">
        <v>0</v>
      </c>
    </row>
    <row customHeight="1" ht="0.75" hidden="1">
      <c r="A6" s="2055"/>
      <c r="B6" s="2055"/>
      <c r="C6" s="2055"/>
      <c r="D6" s="2055"/>
      <c r="E6" s="2951"/>
      <c r="F6" s="2951"/>
      <c r="G6" s="2951"/>
      <c r="H6" s="2951"/>
      <c r="I6" s="2948">
        <f>S5&amp;".1"</f>
      </c>
      <c r="J6" s="2055"/>
      <c r="K6" s="2055"/>
      <c r="L6" s="2056" t="s">
        <v>478</v>
      </c>
      <c r="M6" s="1229"/>
      <c r="P6" s="2949">
        <v>1</v>
      </c>
      <c r="Q6" s="2023"/>
      <c r="R6" s="2698"/>
      <c r="S6" s="1734"/>
      <c r="T6" s="2075"/>
      <c r="U6" s="2076"/>
      <c r="V6" s="2996"/>
      <c r="W6" s="2996"/>
      <c r="X6" s="2996"/>
      <c r="Y6" s="2996"/>
      <c r="Z6" s="2996"/>
      <c r="AA6" s="2996"/>
      <c r="AB6" s="2996"/>
      <c r="AC6" s="2996"/>
      <c r="AD6" s="2996"/>
      <c r="AE6" s="2996"/>
      <c r="AF6" s="2996"/>
      <c r="AG6" s="2996"/>
      <c r="AH6" s="2996"/>
      <c r="AI6" s="2996"/>
      <c r="AJ6" s="2996"/>
      <c r="AK6" s="2996"/>
      <c r="AL6" s="2996"/>
      <c r="AM6" s="2703"/>
      <c r="AO6" s="1192"/>
      <c r="AP6" s="1192" t="str">
        <f>IF(T6="","",T6)</f>
        <v/>
      </c>
      <c r="AQ6" s="1192"/>
      <c r="AR6" s="1192"/>
      <c r="AS6" s="1847">
        <v>0</v>
      </c>
    </row>
    <row customHeight="1" ht="84" hidden="1">
      <c r="A7" s="2055"/>
      <c r="B7" s="2055"/>
      <c r="C7" s="2055"/>
      <c r="D7" s="2055"/>
      <c r="E7" s="2951"/>
      <c r="F7" s="2951"/>
      <c r="G7" s="2951"/>
      <c r="H7" s="2951"/>
      <c r="I7" s="2978"/>
      <c r="J7" s="2948">
        <f>I6&amp;".1"</f>
      </c>
      <c r="K7" s="2055"/>
      <c r="L7" s="2056" t="s">
        <v>481</v>
      </c>
      <c r="M7" s="1229"/>
      <c r="N7" s="2058"/>
      <c r="P7" s="2949"/>
      <c r="Q7" s="2949">
        <v>1</v>
      </c>
      <c r="R7" s="2334"/>
      <c r="S7" s="2699">
        <f>$J7</f>
      </c>
      <c r="T7" s="978" t="s">
        <v>482</v>
      </c>
      <c r="U7" s="992"/>
      <c r="V7" s="2997"/>
      <c r="W7" s="2997"/>
      <c r="X7" s="2997"/>
      <c r="Y7" s="2997"/>
      <c r="Z7" s="2997"/>
      <c r="AA7" s="2997"/>
      <c r="AB7" s="2997"/>
      <c r="AC7" s="2997"/>
      <c r="AD7" s="2997"/>
      <c r="AE7" s="2997"/>
      <c r="AF7" s="2997"/>
      <c r="AG7" s="2997"/>
      <c r="AH7" s="2997"/>
      <c r="AI7" s="2997"/>
      <c r="AJ7" s="2997"/>
      <c r="AK7" s="2997"/>
      <c r="AL7" s="2997"/>
      <c r="AM7" s="2702" t="s">
        <v>483</v>
      </c>
      <c r="AO7" s="1192"/>
      <c r="AP7" s="1192" t="str">
        <f>IF(T7="","",T7)</f>
        <v>Группа потребителей</v>
      </c>
      <c r="AQ7" s="1192"/>
      <c r="AR7" s="1192"/>
      <c r="AS7" s="1847">
        <v>0</v>
      </c>
    </row>
    <row customHeight="1" ht="11.25" hidden="1">
      <c r="A8" s="2055"/>
      <c r="B8" s="2055"/>
      <c r="C8" s="2055"/>
      <c r="D8" s="2055"/>
      <c r="E8" s="2951"/>
      <c r="F8" s="2951"/>
      <c r="G8" s="2951"/>
      <c r="H8" s="2951"/>
      <c r="I8" s="2978"/>
      <c r="J8" s="2978"/>
      <c r="K8" s="2948">
        <f>J7&amp;".1"</f>
      </c>
      <c r="L8" s="2056" t="s">
        <v>484</v>
      </c>
      <c r="M8" s="1229"/>
      <c r="N8" s="2058"/>
      <c r="O8" s="2058"/>
      <c r="P8" s="2949"/>
      <c r="Q8" s="2949"/>
      <c r="R8" s="1049">
        <v>1</v>
      </c>
      <c r="S8" s="2701">
        <f>$K8</f>
      </c>
      <c r="T8" s="2706"/>
      <c r="U8" s="2707"/>
      <c r="V8" s="2708"/>
      <c r="W8" s="2041"/>
      <c r="X8" s="2708"/>
      <c r="Y8" s="2709"/>
      <c r="Z8" s="2998"/>
      <c r="AA8" s="2804" t="s">
        <v>67</v>
      </c>
      <c r="AB8" s="2998"/>
      <c r="AC8" s="2804" t="s">
        <v>67</v>
      </c>
      <c r="AD8" s="2708"/>
      <c r="AE8" s="2041"/>
      <c r="AF8" s="2708"/>
      <c r="AG8" s="2709"/>
      <c r="AH8" s="2998"/>
      <c r="AI8" s="2804" t="s">
        <v>67</v>
      </c>
      <c r="AJ8" s="2998"/>
      <c r="AK8" s="2804" t="s">
        <v>67</v>
      </c>
      <c r="AL8" s="2041"/>
      <c r="AM8" s="2945" t="s">
        <v>485</v>
      </c>
      <c r="AN8" s="1203">
        <f>STRCHECKDATE(V9:AL9)</f>
      </c>
      <c r="AO8" s="1192"/>
      <c r="AP8" s="1192" t="str">
        <f>IF(T8="","",T8)</f>
        <v/>
      </c>
      <c r="AQ8" s="1192"/>
      <c r="AR8" s="1192"/>
      <c r="AS8" s="1847">
        <v>0</v>
      </c>
    </row>
    <row customHeight="1" ht="0.75" hidden="1">
      <c r="A9" s="2055"/>
      <c r="B9" s="2055"/>
      <c r="C9" s="2055"/>
      <c r="D9" s="2055"/>
      <c r="E9" s="2951"/>
      <c r="F9" s="2951"/>
      <c r="G9" s="2951"/>
      <c r="H9" s="2951"/>
      <c r="I9" s="2978"/>
      <c r="J9" s="2978"/>
      <c r="K9" s="2948"/>
      <c r="L9" s="2056"/>
      <c r="M9" s="1229"/>
      <c r="N9" s="2058"/>
      <c r="O9" s="2058"/>
      <c r="P9" s="2949"/>
      <c r="Q9" s="2949"/>
      <c r="R9" s="1049"/>
      <c r="S9" s="2034"/>
      <c r="T9" s="992"/>
      <c r="U9" s="992"/>
      <c r="V9" s="1017"/>
      <c r="W9" s="1017"/>
      <c r="X9" s="1017"/>
      <c r="Y9" s="1020" t="str">
        <f>Z8&amp;"-"&amp;AB8</f>
        <v>-</v>
      </c>
      <c r="Z9" s="2958"/>
      <c r="AA9" s="2799"/>
      <c r="AB9" s="2958"/>
      <c r="AC9" s="2799"/>
      <c r="AD9" s="1017"/>
      <c r="AE9" s="1017"/>
      <c r="AF9" s="1017"/>
      <c r="AG9" s="1020" t="str">
        <f>AH8&amp;"-"&amp;AJ8</f>
        <v>-</v>
      </c>
      <c r="AH9" s="2958"/>
      <c r="AI9" s="2799"/>
      <c r="AJ9" s="2958"/>
      <c r="AK9" s="2799"/>
      <c r="AL9" s="1017"/>
      <c r="AM9" s="2946"/>
      <c r="AO9" s="1192"/>
      <c r="AP9" s="1192" t="str">
        <f>IF(T9="","",T9)</f>
        <v/>
      </c>
      <c r="AQ9" s="1192"/>
      <c r="AR9" s="1192"/>
      <c r="AS9" s="1847">
        <v>0</v>
      </c>
    </row>
    <row customHeight="1" ht="11.25" hidden="1">
      <c r="A10" s="2055"/>
      <c r="B10" s="2055"/>
      <c r="C10" s="2055"/>
      <c r="D10" s="2055"/>
      <c r="E10" s="2951"/>
      <c r="F10" s="2951"/>
      <c r="G10" s="2951"/>
      <c r="H10" s="2951"/>
      <c r="I10" s="2978"/>
      <c r="J10" s="2948"/>
      <c r="K10" s="2055"/>
      <c r="L10" s="2056"/>
      <c r="M10" s="1229"/>
      <c r="N10" s="2058"/>
      <c r="P10" s="2949"/>
      <c r="Q10" s="2949"/>
      <c r="R10" s="1048"/>
      <c r="S10" s="1970"/>
      <c r="T10" s="979" t="s">
        <v>486</v>
      </c>
      <c r="U10" s="1059"/>
      <c r="V10" s="1059"/>
      <c r="W10" s="1059"/>
      <c r="X10" s="1059"/>
      <c r="Y10" s="1059"/>
      <c r="Z10" s="1059"/>
      <c r="AA10" s="1059"/>
      <c r="AB10" s="1059"/>
      <c r="AC10" s="1059"/>
      <c r="AD10" s="1059"/>
      <c r="AE10" s="1059"/>
      <c r="AF10" s="1059"/>
      <c r="AG10" s="1059"/>
      <c r="AH10" s="1059"/>
      <c r="AI10" s="1059"/>
      <c r="AJ10" s="1059"/>
      <c r="AK10" s="1059"/>
      <c r="AL10" s="1016"/>
      <c r="AM10" s="2947"/>
      <c r="AO10" s="1192"/>
      <c r="AP10" s="1192" t="str">
        <f>IF(T10="","",T10)</f>
        <v>Добавить вид теплоносителя (параметры теплоносителя)</v>
      </c>
      <c r="AQ10" s="1192"/>
      <c r="AR10" s="1192"/>
      <c r="AS10" s="1847">
        <v>0</v>
      </c>
    </row>
    <row customHeight="1" ht="11.25" hidden="1">
      <c r="A11" s="2055"/>
      <c r="B11" s="2055"/>
      <c r="C11" s="2055"/>
      <c r="D11" s="2055"/>
      <c r="E11" s="2951"/>
      <c r="F11" s="2951"/>
      <c r="G11" s="2951"/>
      <c r="H11" s="2951"/>
      <c r="I11" s="2948"/>
      <c r="J11" s="2055"/>
      <c r="K11" s="2055"/>
      <c r="L11" s="2056"/>
      <c r="M11" s="1229"/>
      <c r="P11" s="2949"/>
      <c r="Q11" s="2023"/>
      <c r="R11" s="1048"/>
      <c r="S11" s="1970"/>
      <c r="T11" s="1057" t="s">
        <v>487</v>
      </c>
      <c r="U11" s="1059"/>
      <c r="V11" s="1059"/>
      <c r="W11" s="1059"/>
      <c r="X11" s="1059"/>
      <c r="Y11" s="1059"/>
      <c r="Z11" s="1059"/>
      <c r="AA11" s="1059"/>
      <c r="AB11" s="1059"/>
      <c r="AC11" s="1058"/>
      <c r="AD11" s="1059"/>
      <c r="AE11" s="1059"/>
      <c r="AF11" s="1059"/>
      <c r="AG11" s="1059"/>
      <c r="AH11" s="1059"/>
      <c r="AI11" s="1059"/>
      <c r="AJ11" s="1059"/>
      <c r="AK11" s="1058"/>
      <c r="AL11" s="1059"/>
      <c r="AM11" s="995"/>
      <c r="AO11" s="1192"/>
      <c r="AP11" s="1192" t="str">
        <f>IF(T11="","",T11)</f>
        <v>Добавить группу потребителей</v>
      </c>
      <c r="AQ11" s="1192"/>
      <c r="AR11" s="1192"/>
      <c r="AS11" s="1847">
        <v>0</v>
      </c>
    </row>
    <row customHeight="1" ht="0.75" hidden="1">
      <c r="A12" s="2055"/>
      <c r="B12" s="2055"/>
      <c r="C12" s="2055"/>
      <c r="D12" s="2055"/>
      <c r="E12" s="2951"/>
      <c r="F12" s="2951"/>
      <c r="G12" s="2951"/>
      <c r="H12" s="2950"/>
      <c r="I12" s="2055"/>
      <c r="J12" s="2055"/>
      <c r="K12" s="2055"/>
      <c r="L12" s="2056"/>
      <c r="M12" s="2057"/>
      <c r="N12" s="2057"/>
      <c r="O12" s="1229"/>
      <c r="P12" s="1052"/>
      <c r="Q12" s="1067"/>
      <c r="R12" s="1047"/>
      <c r="S12" s="2078"/>
      <c r="T12" s="2079"/>
      <c r="U12" s="2080"/>
      <c r="V12" s="2080"/>
      <c r="W12" s="2080"/>
      <c r="X12" s="2080"/>
      <c r="Y12" s="2080"/>
      <c r="Z12" s="2080"/>
      <c r="AA12" s="2080"/>
      <c r="AB12" s="2080"/>
      <c r="AC12" s="2080"/>
      <c r="AD12" s="2080"/>
      <c r="AE12" s="2080"/>
      <c r="AF12" s="2080"/>
      <c r="AG12" s="2080"/>
      <c r="AH12" s="2080"/>
      <c r="AI12" s="2080"/>
      <c r="AJ12" s="2080"/>
      <c r="AK12" s="2080"/>
      <c r="AL12" s="2080"/>
      <c r="AM12" s="2081"/>
      <c r="AO12" s="1192"/>
      <c r="AP12" s="1192" t="str">
        <f>IF(T12="","",T12)</f>
        <v/>
      </c>
      <c r="AQ12" s="1192"/>
      <c r="AR12" s="1192"/>
      <c r="AS12" s="1847">
        <v>0</v>
      </c>
    </row>
    <row s="61695" customFormat="1" customHeight="1" ht="0.75" hidden="1">
      <c r="A13" s="2006"/>
      <c r="B13" s="2006"/>
      <c r="C13" s="2006"/>
      <c r="D13" s="2006"/>
      <c r="E13" s="2951"/>
      <c r="F13" s="2951"/>
      <c r="G13" s="2950"/>
      <c r="H13" s="2006"/>
      <c r="I13" s="2006"/>
      <c r="J13" s="2006"/>
      <c r="K13" s="2006"/>
      <c r="L13" s="2031"/>
      <c r="M13" s="2007"/>
      <c r="N13" s="2007"/>
      <c r="P13" s="2008"/>
      <c r="Q13" s="2009"/>
      <c r="R13" s="2008"/>
      <c r="S13" s="2010"/>
      <c r="T13" s="2011" t="s">
        <v>171</v>
      </c>
      <c r="U13" s="2012"/>
      <c r="V13" s="2012"/>
      <c r="W13" s="2012"/>
      <c r="X13" s="2012"/>
      <c r="Y13" s="2012"/>
      <c r="Z13" s="2012"/>
      <c r="AA13" s="2012"/>
      <c r="AB13" s="2012"/>
      <c r="AC13" s="2012"/>
      <c r="AD13" s="2012"/>
      <c r="AE13" s="2012"/>
      <c r="AF13" s="2012"/>
      <c r="AG13" s="2012"/>
      <c r="AH13" s="2012"/>
      <c r="AI13" s="2012"/>
      <c r="AJ13" s="2012"/>
      <c r="AK13" s="2012"/>
      <c r="AL13" s="2012"/>
      <c r="AM13" s="2012"/>
      <c r="AO13" s="1481"/>
      <c r="AP13" s="1481" t="str">
        <f>IF(T13="","",T13)</f>
        <v>Добавить источник для дифференциации</v>
      </c>
      <c r="AQ13" s="1481"/>
      <c r="AR13" s="1481"/>
      <c r="AS13" s="1210">
        <v>0</v>
      </c>
    </row>
    <row s="61695" customFormat="1" customHeight="1" ht="0.75" hidden="1">
      <c r="A14" s="2006"/>
      <c r="B14" s="2006"/>
      <c r="C14" s="2006"/>
      <c r="D14" s="2006"/>
      <c r="E14" s="2951"/>
      <c r="F14" s="2950"/>
      <c r="G14" s="2006"/>
      <c r="H14" s="2006"/>
      <c r="I14" s="2006"/>
      <c r="J14" s="2006"/>
      <c r="K14" s="2006"/>
      <c r="L14" s="2031"/>
      <c r="M14" s="2013"/>
      <c r="N14" s="2013"/>
      <c r="P14" s="2008"/>
      <c r="Q14" s="2009"/>
      <c r="R14" s="2008"/>
      <c r="S14" s="2014"/>
      <c r="T14" s="2015" t="s">
        <v>172</v>
      </c>
      <c r="U14" s="2016"/>
      <c r="V14" s="2016"/>
      <c r="W14" s="2016"/>
      <c r="X14" s="2016"/>
      <c r="Y14" s="2016"/>
      <c r="Z14" s="2016"/>
      <c r="AA14" s="2016"/>
      <c r="AB14" s="2016"/>
      <c r="AC14" s="2016"/>
      <c r="AD14" s="2016"/>
      <c r="AE14" s="2016"/>
      <c r="AF14" s="2016"/>
      <c r="AG14" s="2016"/>
      <c r="AH14" s="2016"/>
      <c r="AI14" s="2016"/>
      <c r="AJ14" s="2016"/>
      <c r="AK14" s="2016"/>
      <c r="AL14" s="2016"/>
      <c r="AM14" s="2016"/>
      <c r="AO14" s="1481"/>
      <c r="AP14" s="1481" t="str">
        <f>IF(T14="","",T14)</f>
        <v>Добавить централизованную систему для дифференциации</v>
      </c>
      <c r="AQ14" s="1481"/>
      <c r="AR14" s="1481"/>
      <c r="AS14" s="1210">
        <v>0</v>
      </c>
    </row>
    <row s="61695" customFormat="1" customHeight="1" ht="0.75" hidden="1">
      <c r="A15" s="2006"/>
      <c r="B15" s="2006"/>
      <c r="C15" s="2006"/>
      <c r="D15" s="2006"/>
      <c r="E15" s="2950"/>
      <c r="F15" s="2006"/>
      <c r="G15" s="2006"/>
      <c r="H15" s="2006"/>
      <c r="I15" s="2006"/>
      <c r="J15" s="2006"/>
      <c r="K15" s="2006"/>
      <c r="L15" s="2031"/>
      <c r="M15" s="2013"/>
      <c r="N15" s="2013"/>
      <c r="P15" s="2008"/>
      <c r="Q15" s="2009"/>
      <c r="R15" s="2008"/>
      <c r="S15" s="2014"/>
      <c r="T15" s="2017" t="s">
        <v>173</v>
      </c>
      <c r="U15" s="2016"/>
      <c r="V15" s="2016"/>
      <c r="W15" s="2016"/>
      <c r="X15" s="2016"/>
      <c r="Y15" s="2016"/>
      <c r="Z15" s="2016"/>
      <c r="AA15" s="2016"/>
      <c r="AB15" s="2016"/>
      <c r="AC15" s="2016"/>
      <c r="AD15" s="2016"/>
      <c r="AE15" s="2016"/>
      <c r="AF15" s="2016"/>
      <c r="AG15" s="2016"/>
      <c r="AH15" s="2016"/>
      <c r="AI15" s="2016"/>
      <c r="AJ15" s="2016"/>
      <c r="AK15" s="2016"/>
      <c r="AL15" s="2016"/>
      <c r="AM15" s="2016"/>
      <c r="AO15" s="1481"/>
      <c r="AP15" s="1481" t="str">
        <f>IF(T15="","",T15)</f>
        <v>Добавить территорию для дифференциации</v>
      </c>
      <c r="AQ15" s="1481"/>
      <c r="AR15" s="1481"/>
      <c r="AS15" s="1210">
        <v>0</v>
      </c>
    </row>
    <row customHeight="1" ht="14.25" hidden="1">
      <c r="AC16" s="1019"/>
      <c r="AK16" s="1019"/>
      <c r="AS16" s="1847">
        <v>0</v>
      </c>
    </row>
    <row customHeight="1" ht="14.25" hidden="1">
      <c r="AD17" s="2052"/>
      <c r="AE17" s="2052"/>
      <c r="AF17" s="2052"/>
      <c r="AG17" s="2053"/>
      <c r="AH17" s="2959"/>
      <c r="AI17" s="2960" t="s">
        <v>67</v>
      </c>
      <c r="AJ17" s="2959"/>
      <c r="AK17" s="2960" t="s">
        <v>67</v>
      </c>
      <c r="AS17" s="1847">
        <v>0</v>
      </c>
    </row>
    <row customHeight="1" ht="14.25" hidden="1">
      <c r="AD18" s="2052"/>
      <c r="AE18" s="2052"/>
      <c r="AF18" s="2052"/>
      <c r="AG18" s="1020" t="str">
        <f>AH17&amp;"-"&amp;AJ17</f>
        <v>-</v>
      </c>
      <c r="AH18" s="2960"/>
      <c r="AI18" s="2960"/>
      <c r="AJ18" s="2960"/>
      <c r="AK18" s="2960"/>
      <c r="AS18" s="1847">
        <v>0</v>
      </c>
    </row>
    <row customHeight="1" ht="14.25" hidden="1">
      <c r="AK19" s="1019"/>
      <c r="AS19" s="1847">
        <v>0</v>
      </c>
    </row>
    <row s="62148" customFormat="1" customHeight="1" ht="22.5" hidden="1">
      <c r="L20" s="2021"/>
      <c r="M20" s="2054"/>
      <c r="N20" s="2054"/>
      <c r="O20" s="2059" t="s">
        <v>489</v>
      </c>
      <c r="P20" s="2054"/>
      <c r="Q20" s="2063"/>
      <c r="R20" s="2063"/>
      <c r="S20" s="1421"/>
      <c r="Z20" s="2059"/>
      <c r="AB20" s="2059"/>
      <c r="AC20" s="2058"/>
      <c r="AH20" s="2059"/>
      <c r="AJ20" s="2059"/>
      <c r="AK20" s="2058"/>
      <c r="AN20" s="1203"/>
      <c r="AO20" s="1203"/>
      <c r="AP20" s="1203"/>
      <c r="AQ20" s="1203"/>
      <c r="AR20" s="1203"/>
      <c r="AS20" s="1852">
        <v>0</v>
      </c>
    </row>
    <row s="62148" customFormat="1" customHeight="1" ht="14.25" hidden="1">
      <c r="L21" s="2021"/>
      <c r="M21" s="2054"/>
      <c r="N21" s="2054"/>
      <c r="O21" s="2054"/>
      <c r="P21" s="2054"/>
      <c r="Q21" s="2063"/>
      <c r="R21" s="2063"/>
      <c r="S21" s="1421"/>
      <c r="AC21" s="2058"/>
      <c r="AK21" s="2058"/>
      <c r="AN21" s="1203"/>
      <c r="AO21" s="1203"/>
      <c r="AP21" s="1203"/>
      <c r="AQ21" s="1203"/>
      <c r="AR21" s="1203"/>
      <c r="AS21" s="1852">
        <v>0</v>
      </c>
    </row>
    <row s="62148" customFormat="1" customHeight="1" ht="14.25" hidden="1">
      <c r="L22" s="2021"/>
      <c r="M22" s="2054"/>
      <c r="N22" s="2054"/>
      <c r="O22" s="2056" t="s">
        <v>490</v>
      </c>
      <c r="P22" s="2054"/>
      <c r="Q22" s="2063"/>
      <c r="R22" s="2063"/>
      <c r="S22" s="1421"/>
      <c r="T22" s="1852" t="s">
        <v>491</v>
      </c>
      <c r="AA22" s="878" t="s">
        <v>492</v>
      </c>
      <c r="AC22" s="878" t="s">
        <v>493</v>
      </c>
      <c r="AD22" s="1852" t="s">
        <v>491</v>
      </c>
      <c r="AI22" s="878" t="s">
        <v>494</v>
      </c>
      <c r="AK22" s="878" t="s">
        <v>493</v>
      </c>
      <c r="AN22" s="1203"/>
      <c r="AO22" s="1203"/>
      <c r="AP22" s="1203"/>
      <c r="AQ22" s="1203"/>
      <c r="AR22" s="1203"/>
      <c r="AS22" s="1852">
        <v>0</v>
      </c>
    </row>
    <row customHeight="1" ht="14.25" hidden="1">
      <c r="O23" s="2056"/>
      <c r="AS23" s="1847">
        <v>0</v>
      </c>
    </row>
    <row customHeight="1" ht="14.25" hidden="1">
      <c r="O24" s="2056"/>
      <c r="AS24" s="1847">
        <v>0</v>
      </c>
    </row>
    <row customHeight="1" ht="14.699999999999998">
      <c r="Q25" s="1068"/>
      <c r="R25" s="1068"/>
      <c r="S25" s="1967"/>
      <c r="T25" s="1055"/>
      <c r="U25" s="1055"/>
      <c r="V25" s="1201"/>
      <c r="W25" s="1201"/>
      <c r="X25" s="1201"/>
      <c r="Y25" s="1201"/>
      <c r="Z25" s="1201"/>
      <c r="AA25" s="1201"/>
      <c r="AB25" s="1201"/>
      <c r="AC25" s="1201"/>
      <c r="AD25" s="1201"/>
      <c r="AE25" s="1201"/>
      <c r="AF25" s="1201"/>
      <c r="AG25" s="1201"/>
      <c r="AH25" s="1201"/>
      <c r="AI25" s="1201"/>
      <c r="AJ25" s="1201"/>
      <c r="AK25" s="1201"/>
      <c r="AS25" s="1847">
        <v>14</v>
      </c>
    </row>
    <row customHeight="1" ht="54.75">
      <c r="Q26" s="1068"/>
      <c r="R26" s="1068"/>
      <c r="S26" s="299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99"/>
      <c r="U26" s="2999"/>
      <c r="V26" s="2999"/>
      <c r="W26" s="2999"/>
      <c r="X26" s="2999"/>
      <c r="Y26" s="2999"/>
      <c r="Z26" s="2999"/>
      <c r="AA26" s="2999"/>
      <c r="AB26" s="2999"/>
      <c r="AC26" s="2999"/>
      <c r="AD26" s="2999"/>
      <c r="AE26" s="2999"/>
      <c r="AF26" s="2999"/>
      <c r="AG26" s="2999"/>
      <c r="AH26" s="2999"/>
      <c r="AI26" s="2999"/>
      <c r="AJ26" s="2999"/>
      <c r="AK26" s="1935"/>
      <c r="AS26" s="1847">
        <v>52</v>
      </c>
    </row>
    <row customHeight="1" ht="14.699999999999998">
      <c r="Q27" s="1068"/>
      <c r="R27" s="1068"/>
      <c r="S27" s="2941" t="str">
        <f>IF(org=0,"Не определено",org)</f>
        <v>АО "ДГК"</v>
      </c>
      <c r="T27" s="2941"/>
      <c r="U27" s="2941"/>
      <c r="V27" s="2941"/>
      <c r="W27" s="2941"/>
      <c r="X27" s="2941"/>
      <c r="Y27" s="2941"/>
      <c r="Z27" s="2941"/>
      <c r="AA27" s="2941"/>
      <c r="AB27" s="2941"/>
      <c r="AC27" s="2941"/>
      <c r="AD27" s="2941"/>
      <c r="AE27" s="2941"/>
      <c r="AF27" s="2941"/>
      <c r="AG27" s="2941"/>
      <c r="AH27" s="2941"/>
      <c r="AI27" s="2941"/>
      <c r="AJ27" s="2941"/>
      <c r="AK27" s="1935"/>
      <c r="AS27" s="1847">
        <v>14</v>
      </c>
    </row>
    <row customHeight="1" ht="14.25" hidden="1">
      <c r="Q28" s="1068"/>
      <c r="R28" s="1068"/>
      <c r="S28" s="1967"/>
      <c r="T28" s="1055"/>
      <c r="U28" s="1055"/>
      <c r="V28" s="1014"/>
      <c r="W28" s="1014"/>
      <c r="X28" s="1014"/>
      <c r="Y28" s="1014"/>
      <c r="Z28" s="1014"/>
      <c r="AA28" s="1014"/>
      <c r="AB28" s="1014"/>
      <c r="AC28" s="1014"/>
      <c r="AD28" s="1014"/>
      <c r="AE28" s="1014"/>
      <c r="AF28" s="1014"/>
      <c r="AG28" s="1014"/>
      <c r="AH28" s="1014"/>
      <c r="AI28" s="1014"/>
      <c r="AJ28" s="1014"/>
      <c r="AK28" s="1014"/>
      <c r="AL28" s="1201"/>
      <c r="AS28" s="1847">
        <v>0</v>
      </c>
    </row>
    <row s="63055" customFormat="1" customHeight="1" ht="25.5" hidden="1">
      <c r="A29" s="2060"/>
      <c r="B29" s="2060"/>
      <c r="C29" s="2060"/>
      <c r="D29" s="2060"/>
      <c r="E29" s="2060"/>
      <c r="F29" s="2060"/>
      <c r="G29" s="2060"/>
      <c r="H29" s="2060"/>
      <c r="I29" s="2060"/>
      <c r="J29" s="2060"/>
      <c r="K29" s="2060"/>
      <c r="L29" s="2061"/>
      <c r="M29" s="2060"/>
      <c r="N29" s="2060"/>
      <c r="O29" s="2060"/>
      <c r="S29" s="2942" t="s">
        <v>42</v>
      </c>
      <c r="T29" s="2942"/>
      <c r="U29" s="2064"/>
      <c r="V29" s="2943" t="str">
        <f>IF(TITLE_NAME_OR_PR_CHANGE="",IF(TITLE_NAME_OR_PR="","",TITLE_NAME_OR_PR),TITLE_NAME_OR_PR_CHANGE)</f>
        <v/>
      </c>
      <c r="W29" s="2943"/>
      <c r="X29" s="2943"/>
      <c r="Y29" s="2943"/>
      <c r="Z29" s="2943"/>
      <c r="AA29" s="2943"/>
      <c r="AB29" s="2943"/>
      <c r="AC29" s="1018"/>
      <c r="AD29" s="2943" t="str">
        <f>IF(TITLE_NAME_OR_PR_CHANGE="",IF(TITLE_NAME_OR_PR="","",TITLE_NAME_OR_PR),TITLE_NAME_OR_PR_CHANGE)</f>
        <v/>
      </c>
      <c r="AE29" s="2943"/>
      <c r="AF29" s="2943"/>
      <c r="AG29" s="2943"/>
      <c r="AH29" s="2943"/>
      <c r="AI29" s="2943"/>
      <c r="AJ29" s="2943"/>
      <c r="AK29" s="1018"/>
      <c r="AL29" s="1018"/>
      <c r="AM29" s="972"/>
      <c r="AN29" s="1060"/>
      <c r="AO29" s="1060"/>
      <c r="AP29" s="1060"/>
      <c r="AQ29" s="1060"/>
      <c r="AR29" s="1060"/>
      <c r="AS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495</v>
      </c>
      <c r="T30" s="2942"/>
      <c r="U30" s="2064"/>
      <c r="V30" s="2956" t="str">
        <f>IF(TITLE_DATE_PR_CHANGE="",IF(TITLE_DATE_PR="","",TITLE_DATE_PR),TITLE_DATE_PR_CHANGE)</f>
        <v>45981</v>
      </c>
      <c r="W30" s="2956"/>
      <c r="X30" s="2956"/>
      <c r="Y30" s="2956"/>
      <c r="Z30" s="2956"/>
      <c r="AA30" s="2956"/>
      <c r="AB30" s="2956"/>
      <c r="AC30" s="1018"/>
      <c r="AD30" s="2956" t="str">
        <f>IF(TITLE_DATE_PR_CHANGE="",IF(TITLE_DATE_PR="","",TITLE_DATE_PR),TITLE_DATE_PR_CHANGE)</f>
        <v>45981</v>
      </c>
      <c r="AE30" s="2956"/>
      <c r="AF30" s="2956"/>
      <c r="AG30" s="2956"/>
      <c r="AH30" s="2956"/>
      <c r="AI30" s="2956"/>
      <c r="AJ30" s="2956"/>
      <c r="AK30" s="1018"/>
      <c r="AL30" s="1018"/>
      <c r="AM30" s="972"/>
      <c r="AN30" s="1060"/>
      <c r="AO30" s="1060"/>
      <c r="AP30" s="1060"/>
      <c r="AQ30" s="1060"/>
      <c r="AR30" s="1060"/>
      <c r="AS30" s="1110">
        <v>0</v>
      </c>
    </row>
    <row s="63055" customFormat="1" customHeight="1" ht="18.75" hidden="1">
      <c r="A31" s="2060"/>
      <c r="B31" s="2060"/>
      <c r="C31" s="2060"/>
      <c r="D31" s="2060"/>
      <c r="E31" s="2060"/>
      <c r="F31" s="2060"/>
      <c r="G31" s="2060"/>
      <c r="H31" s="2060"/>
      <c r="I31" s="2060"/>
      <c r="J31" s="2060"/>
      <c r="K31" s="2060"/>
      <c r="L31" s="2061"/>
      <c r="M31" s="2060"/>
      <c r="N31" s="2060"/>
      <c r="O31" s="2060"/>
      <c r="S31" s="2942" t="s">
        <v>496</v>
      </c>
      <c r="T31" s="2942"/>
      <c r="U31" s="2064"/>
      <c r="V31" s="2943" t="str">
        <f>IF(TITLE_NUMBER_PR_CHANGE="",IF(TITLE_NUMBER_PR="","",TITLE_NUMBER_PR),TITLE_NUMBER_PR_CHANGE)</f>
        <v>Исх-260/1781</v>
      </c>
      <c r="W31" s="2943"/>
      <c r="X31" s="2943"/>
      <c r="Y31" s="2943"/>
      <c r="Z31" s="2943"/>
      <c r="AA31" s="2943"/>
      <c r="AB31" s="2943"/>
      <c r="AC31" s="1018"/>
      <c r="AD31" s="2943" t="str">
        <f>IF(TITLE_NUMBER_PR_CHANGE="",IF(TITLE_NUMBER_PR="","",TITLE_NUMBER_PR),TITLE_NUMBER_PR_CHANGE)</f>
        <v>Исх-260/1781</v>
      </c>
      <c r="AE31" s="2943"/>
      <c r="AF31" s="2943"/>
      <c r="AG31" s="2943"/>
      <c r="AH31" s="2943"/>
      <c r="AI31" s="2943"/>
      <c r="AJ31" s="2943"/>
      <c r="AK31" s="1018"/>
      <c r="AL31" s="1018"/>
      <c r="AM31" s="972"/>
      <c r="AN31" s="1060"/>
      <c r="AO31" s="1060"/>
      <c r="AP31" s="1060"/>
      <c r="AQ31" s="1060"/>
      <c r="AR31" s="1060"/>
      <c r="AS31" s="1110">
        <v>0</v>
      </c>
    </row>
    <row s="63055" customFormat="1" customHeight="1" ht="18.75" hidden="1">
      <c r="A32" s="2060"/>
      <c r="B32" s="2060"/>
      <c r="C32" s="2060"/>
      <c r="D32" s="2060"/>
      <c r="E32" s="2060"/>
      <c r="F32" s="2060"/>
      <c r="G32" s="2060"/>
      <c r="H32" s="2060"/>
      <c r="I32" s="2060"/>
      <c r="J32" s="2060"/>
      <c r="K32" s="2060"/>
      <c r="L32" s="2061"/>
      <c r="M32" s="2060"/>
      <c r="N32" s="2060"/>
      <c r="O32" s="2060"/>
      <c r="S32" s="2942" t="s">
        <v>43</v>
      </c>
      <c r="T32" s="2942"/>
      <c r="U32" s="2064"/>
      <c r="V32" s="2943" t="str">
        <f>IF(TITLE_IST_PUB_CHANGE="",IF(TITLE_IST_PUB="","",TITLE_IST_PUB),TITLE_IST_PUB_CHANGE)</f>
        <v/>
      </c>
      <c r="W32" s="2943"/>
      <c r="X32" s="2943"/>
      <c r="Y32" s="2943"/>
      <c r="Z32" s="2943"/>
      <c r="AA32" s="2943"/>
      <c r="AB32" s="2943"/>
      <c r="AC32" s="1018"/>
      <c r="AD32" s="2943" t="str">
        <f>IF(TITLE_IST_PUB_CHANGE="",IF(TITLE_IST_PUB="","",TITLE_IST_PUB),TITLE_IST_PUB_CHANGE)</f>
        <v/>
      </c>
      <c r="AE32" s="2943"/>
      <c r="AF32" s="2943"/>
      <c r="AG32" s="2943"/>
      <c r="AH32" s="2943"/>
      <c r="AI32" s="2943"/>
      <c r="AJ32" s="2943"/>
      <c r="AK32" s="1018"/>
      <c r="AL32" s="1018"/>
      <c r="AM32" s="972"/>
      <c r="AN32" s="1060"/>
      <c r="AO32" s="1060"/>
      <c r="AP32" s="1060"/>
      <c r="AQ32" s="1060"/>
      <c r="AR32" s="1060"/>
      <c r="AS32" s="1110">
        <v>0</v>
      </c>
    </row>
    <row customHeight="1" ht="14.25">
      <c r="Q33" s="1068"/>
      <c r="R33" s="1068"/>
      <c r="S33" s="1967"/>
      <c r="T33" s="1055"/>
      <c r="U33" s="1055"/>
      <c r="V33" s="1014"/>
      <c r="W33" s="1014"/>
      <c r="X33" s="1014"/>
      <c r="Y33" s="1014"/>
      <c r="Z33" s="1014"/>
      <c r="AA33" s="1014"/>
      <c r="AB33" s="1014"/>
      <c r="AC33" s="1014"/>
      <c r="AD33" s="1014"/>
      <c r="AE33" s="1014"/>
      <c r="AF33" s="1014"/>
      <c r="AG33" s="1014"/>
      <c r="AH33" s="1014"/>
      <c r="AI33" s="1014"/>
      <c r="AJ33" s="1014"/>
      <c r="AK33" s="1014"/>
      <c r="AL33" s="1201"/>
      <c r="AS33" s="1847">
        <v>0</v>
      </c>
    </row>
    <row s="63055" customFormat="1" customHeight="1" ht="18.75">
      <c r="A34" s="2060"/>
      <c r="B34" s="2060"/>
      <c r="C34" s="2060"/>
      <c r="D34" s="2060"/>
      <c r="E34" s="2060"/>
      <c r="F34" s="2060"/>
      <c r="G34" s="2060"/>
      <c r="H34" s="2060"/>
      <c r="I34" s="2060"/>
      <c r="J34" s="2060"/>
      <c r="K34" s="2060"/>
      <c r="L34" s="2061"/>
      <c r="M34" s="2060"/>
      <c r="N34" s="2060"/>
      <c r="O34" s="2060"/>
      <c r="S34" s="2942" t="s">
        <v>497</v>
      </c>
      <c r="T34" s="2942"/>
      <c r="U34" s="2064"/>
      <c r="V34" s="2956" t="str">
        <f>IF(TITLE_DATE_PR_CHANGE="",IF(TITLE_DATE_PR="","",TITLE_DATE_PR),TITLE_DATE_PR_CHANGE)</f>
        <v>45981</v>
      </c>
      <c r="W34" s="2956"/>
      <c r="X34" s="2956"/>
      <c r="Y34" s="2956"/>
      <c r="Z34" s="2956"/>
      <c r="AA34" s="2956"/>
      <c r="AB34" s="2956"/>
      <c r="AC34" s="1018"/>
      <c r="AD34" s="2956" t="str">
        <f>IF(TITLE_DATE_PR_CHANGE="",IF(TITLE_DATE_PR="","",TITLE_DATE_PR),TITLE_DATE_PR_CHANGE)</f>
        <v>45981</v>
      </c>
      <c r="AE34" s="2956"/>
      <c r="AF34" s="2956"/>
      <c r="AG34" s="2956"/>
      <c r="AH34" s="2956"/>
      <c r="AI34" s="2956"/>
      <c r="AJ34" s="2956"/>
      <c r="AK34" s="1018"/>
      <c r="AL34" s="1018"/>
      <c r="AM34" s="972"/>
      <c r="AN34" s="1060"/>
      <c r="AO34" s="1060"/>
      <c r="AP34" s="1060"/>
      <c r="AQ34" s="1060"/>
      <c r="AR34" s="1060"/>
      <c r="AS34" s="1110">
        <v>0</v>
      </c>
    </row>
    <row s="63055" customFormat="1" customHeight="1" ht="18.75">
      <c r="A35" s="2060"/>
      <c r="B35" s="2060"/>
      <c r="C35" s="2060"/>
      <c r="D35" s="2060"/>
      <c r="E35" s="2060"/>
      <c r="F35" s="2060"/>
      <c r="G35" s="2060"/>
      <c r="H35" s="2060"/>
      <c r="I35" s="2060"/>
      <c r="J35" s="2060"/>
      <c r="K35" s="2060"/>
      <c r="L35" s="2061"/>
      <c r="M35" s="2060"/>
      <c r="N35" s="2060"/>
      <c r="O35" s="2060"/>
      <c r="S35" s="2942" t="s">
        <v>498</v>
      </c>
      <c r="T35" s="2942"/>
      <c r="U35" s="2064"/>
      <c r="V35" s="2943" t="str">
        <f>IF(TITLE_NUMBER_PR_CHANGE="",IF(TITLE_NUMBER_PR="","",TITLE_NUMBER_PR),TITLE_NUMBER_PR_CHANGE)</f>
        <v>Исх-260/1781</v>
      </c>
      <c r="W35" s="2943"/>
      <c r="X35" s="2943"/>
      <c r="Y35" s="2943"/>
      <c r="Z35" s="2943"/>
      <c r="AA35" s="2943"/>
      <c r="AB35" s="2943"/>
      <c r="AC35" s="1018"/>
      <c r="AD35" s="2943" t="str">
        <f>IF(TITLE_NUMBER_PR_CHANGE="",IF(TITLE_NUMBER_PR="","",TITLE_NUMBER_PR),TITLE_NUMBER_PR_CHANGE)</f>
        <v>Исх-260/1781</v>
      </c>
      <c r="AE35" s="2943"/>
      <c r="AF35" s="2943"/>
      <c r="AG35" s="2943"/>
      <c r="AH35" s="2943"/>
      <c r="AI35" s="2943"/>
      <c r="AJ35" s="2943"/>
      <c r="AK35" s="1018"/>
      <c r="AL35" s="1018"/>
      <c r="AM35" s="972"/>
      <c r="AN35" s="1060"/>
      <c r="AO35" s="1060"/>
      <c r="AP35" s="1060"/>
      <c r="AQ35" s="1060"/>
      <c r="AR35" s="1060"/>
      <c r="AS35" s="1110">
        <v>0</v>
      </c>
    </row>
    <row s="63055" customFormat="1" customHeight="1" ht="0">
      <c r="A36" s="2060"/>
      <c r="B36" s="2060"/>
      <c r="C36" s="2060"/>
      <c r="D36" s="2060"/>
      <c r="E36" s="2060"/>
      <c r="F36" s="2060"/>
      <c r="G36" s="2060"/>
      <c r="H36" s="2060"/>
      <c r="I36" s="2060"/>
      <c r="J36" s="2060"/>
      <c r="K36" s="2060"/>
      <c r="L36" s="2061"/>
      <c r="M36" s="2060"/>
      <c r="N36" s="2060"/>
      <c r="O36" s="2060"/>
      <c r="S36" s="1015"/>
      <c r="T36" s="1015"/>
      <c r="U36" s="2032"/>
      <c r="V36" s="1018"/>
      <c r="W36" s="1018"/>
      <c r="X36" s="1018"/>
      <c r="Y36" s="1018"/>
      <c r="Z36" s="1018"/>
      <c r="AA36" s="1018"/>
      <c r="AB36" s="1018"/>
      <c r="AC36" s="970" t="s">
        <v>499</v>
      </c>
      <c r="AD36" s="1018"/>
      <c r="AE36" s="1018"/>
      <c r="AF36" s="1018"/>
      <c r="AG36" s="1018"/>
      <c r="AH36" s="1018"/>
      <c r="AI36" s="1018"/>
      <c r="AJ36" s="1018"/>
      <c r="AK36" s="970" t="s">
        <v>499</v>
      </c>
      <c r="AN36" s="1060"/>
      <c r="AO36" s="1060"/>
      <c r="AP36" s="1060"/>
      <c r="AQ36" s="1060"/>
      <c r="AR36" s="1060"/>
      <c r="AS36" s="1110">
        <v>0</v>
      </c>
    </row>
    <row customHeight="1" ht="14.699999999999998">
      <c r="Q37" s="1068"/>
      <c r="R37" s="1068"/>
      <c r="S37" s="1967"/>
      <c r="T37" s="1055"/>
      <c r="U37" s="1936"/>
      <c r="V37" s="2944"/>
      <c r="W37" s="2944"/>
      <c r="X37" s="2944"/>
      <c r="Y37" s="2944"/>
      <c r="Z37" s="2944"/>
      <c r="AA37" s="2944"/>
      <c r="AB37" s="2944"/>
      <c r="AC37" s="2944"/>
      <c r="AD37" s="2944"/>
      <c r="AE37" s="2944"/>
      <c r="AF37" s="2944"/>
      <c r="AG37" s="2944"/>
      <c r="AH37" s="2944"/>
      <c r="AI37" s="2944"/>
      <c r="AJ37" s="2944"/>
      <c r="AK37" s="2944"/>
      <c r="AS37" s="1847">
        <v>14</v>
      </c>
    </row>
    <row customHeight="1" ht="14.699999999999998">
      <c r="Q38" s="1068"/>
      <c r="R38" s="1068"/>
      <c r="S38" s="2819" t="s">
        <v>375</v>
      </c>
      <c r="T38" s="2819"/>
      <c r="U38" s="2819"/>
      <c r="V38" s="2819"/>
      <c r="W38" s="2819"/>
      <c r="X38" s="2819"/>
      <c r="Y38" s="2819"/>
      <c r="Z38" s="2819"/>
      <c r="AA38" s="2819"/>
      <c r="AB38" s="2819"/>
      <c r="AC38" s="2819"/>
      <c r="AD38" s="2819"/>
      <c r="AE38" s="2819"/>
      <c r="AF38" s="2819"/>
      <c r="AG38" s="2819"/>
      <c r="AH38" s="2819"/>
      <c r="AI38" s="2819"/>
      <c r="AJ38" s="2819"/>
      <c r="AK38" s="2819"/>
      <c r="AL38" s="2819"/>
      <c r="AM38" s="2819" t="s">
        <v>376</v>
      </c>
      <c r="AS38" s="1847">
        <v>14</v>
      </c>
    </row>
    <row customHeight="1" ht="14.699999999999998">
      <c r="Q39" s="1068"/>
      <c r="R39" s="1068"/>
      <c r="S39" s="2965" t="s">
        <v>89</v>
      </c>
      <c r="T39" s="2901" t="s">
        <v>500</v>
      </c>
      <c r="U39" s="993"/>
      <c r="V39" s="2966" t="s">
        <v>501</v>
      </c>
      <c r="W39" s="2967"/>
      <c r="X39" s="2967"/>
      <c r="Y39" s="2967"/>
      <c r="Z39" s="2967"/>
      <c r="AA39" s="2967"/>
      <c r="AB39" s="2968"/>
      <c r="AC39" s="2969" t="s">
        <v>502</v>
      </c>
      <c r="AD39" s="2966" t="s">
        <v>501</v>
      </c>
      <c r="AE39" s="2967"/>
      <c r="AF39" s="2967"/>
      <c r="AG39" s="2967"/>
      <c r="AH39" s="2967"/>
      <c r="AI39" s="2967"/>
      <c r="AJ39" s="2968"/>
      <c r="AK39" s="2969" t="s">
        <v>503</v>
      </c>
      <c r="AL39" s="2972" t="s">
        <v>504</v>
      </c>
      <c r="AM39" s="2819"/>
      <c r="AS39" s="1847">
        <v>14</v>
      </c>
    </row>
    <row customHeight="1" ht="35.699999999999996">
      <c r="Q40" s="1068"/>
      <c r="R40" s="1068"/>
      <c r="S40" s="2965"/>
      <c r="T40" s="2901"/>
      <c r="U40" s="1723"/>
      <c r="V40" s="2952" t="s">
        <v>505</v>
      </c>
      <c r="W40" s="2975"/>
      <c r="X40" s="2954" t="s">
        <v>507</v>
      </c>
      <c r="Y40" s="2955"/>
      <c r="Z40" s="2954" t="s">
        <v>508</v>
      </c>
      <c r="AA40" s="2961"/>
      <c r="AB40" s="2955"/>
      <c r="AC40" s="2970"/>
      <c r="AD40" s="2952" t="s">
        <v>524</v>
      </c>
      <c r="AE40" s="2975"/>
      <c r="AF40" s="2954" t="s">
        <v>507</v>
      </c>
      <c r="AG40" s="2955"/>
      <c r="AH40" s="2954" t="s">
        <v>508</v>
      </c>
      <c r="AI40" s="2961"/>
      <c r="AJ40" s="2955"/>
      <c r="AK40" s="2970"/>
      <c r="AL40" s="2973"/>
      <c r="AM40" s="2819"/>
      <c r="AS40" s="1847">
        <v>34</v>
      </c>
    </row>
    <row customHeight="1" ht="35.699999999999996">
      <c r="A41" s="2062"/>
      <c r="B41" s="2062" t="s">
        <v>143</v>
      </c>
      <c r="C41" s="2062" t="s">
        <v>144</v>
      </c>
      <c r="D41" s="2062" t="s">
        <v>145</v>
      </c>
      <c r="E41" s="2056" t="s">
        <v>509</v>
      </c>
      <c r="F41" s="2056" t="s">
        <v>510</v>
      </c>
      <c r="G41" s="2056" t="s">
        <v>511</v>
      </c>
      <c r="H41" s="2056" t="s">
        <v>512</v>
      </c>
      <c r="I41" s="2056" t="s">
        <v>513</v>
      </c>
      <c r="J41" s="2056" t="s">
        <v>514</v>
      </c>
      <c r="K41" s="2056" t="s">
        <v>515</v>
      </c>
      <c r="L41" s="2056" t="s">
        <v>490</v>
      </c>
      <c r="Q41" s="1068"/>
      <c r="R41" s="1068"/>
      <c r="S41" s="2965"/>
      <c r="T41" s="2901"/>
      <c r="U41" s="994"/>
      <c r="V41" s="2953"/>
      <c r="W41" s="2976"/>
      <c r="X41" s="1914" t="s">
        <v>516</v>
      </c>
      <c r="Y41" s="1914" t="s">
        <v>517</v>
      </c>
      <c r="Z41" s="2030" t="s">
        <v>518</v>
      </c>
      <c r="AA41" s="2962" t="s">
        <v>519</v>
      </c>
      <c r="AB41" s="2963"/>
      <c r="AC41" s="2971"/>
      <c r="AD41" s="2953"/>
      <c r="AE41" s="2976"/>
      <c r="AF41" s="1914" t="s">
        <v>516</v>
      </c>
      <c r="AG41" s="1914" t="s">
        <v>517</v>
      </c>
      <c r="AH41" s="2030" t="s">
        <v>518</v>
      </c>
      <c r="AI41" s="2962" t="s">
        <v>519</v>
      </c>
      <c r="AJ41" s="2963"/>
      <c r="AK41" s="2971"/>
      <c r="AL41" s="2974"/>
      <c r="AM41" s="2819"/>
      <c r="AS41" s="1847">
        <v>34</v>
      </c>
    </row>
    <row s="61193" customFormat="1" customHeight="1" ht="11.25" hidden="1">
      <c r="A42" s="2062"/>
      <c r="B42" s="2062"/>
      <c r="C42" s="2062"/>
      <c r="D42" s="2062"/>
      <c r="E42" s="2062"/>
      <c r="F42" s="2062"/>
      <c r="G42" s="2062"/>
      <c r="H42" s="2062"/>
      <c r="I42" s="2062"/>
      <c r="J42" s="2062"/>
      <c r="K42" s="2062"/>
      <c r="L42" s="2056"/>
      <c r="M42" s="2054"/>
      <c r="N42" s="2054"/>
      <c r="O42" s="2054"/>
      <c r="P42" s="1938"/>
      <c r="Q42" s="1939"/>
      <c r="R42" s="1946">
        <v>1</v>
      </c>
      <c r="S42" s="1969" t="s">
        <v>118</v>
      </c>
      <c r="T42" s="1947" t="s">
        <v>103</v>
      </c>
      <c r="U42" s="1937" t="str">
        <f>OFFSET(U42,0,-1)</f>
        <v>2</v>
      </c>
      <c r="V42" s="2027">
        <f>OFFSET(V42,0,-1)+1</f>
        <v>3</v>
      </c>
      <c r="W42" s="2027"/>
      <c r="X42" s="2027">
        <f>OFFSET(X42,0,-1)+1</f>
        <v>1</v>
      </c>
      <c r="Y42" s="2027">
        <f>OFFSET(Y42,0,-1)+1</f>
        <v>2</v>
      </c>
      <c r="Z42" s="2027">
        <f>OFFSET(Z42,0,-1)+1</f>
        <v>3</v>
      </c>
      <c r="AA42" s="2964">
        <f>OFFSET(AA42,0,-1)+1</f>
        <v>4</v>
      </c>
      <c r="AB42" s="2964"/>
      <c r="AC42" s="2027">
        <f>OFFSET(AC42,0,-2)+1</f>
        <v>5</v>
      </c>
      <c r="AD42" s="2027">
        <f>OFFSET(AD42,0,-1)+1</f>
        <v>6</v>
      </c>
      <c r="AE42" s="2027"/>
      <c r="AF42" s="2027">
        <f>OFFSET(AF42,0,-1)+1</f>
        <v>1</v>
      </c>
      <c r="AG42" s="2027">
        <f>OFFSET(AG42,0,-1)+1</f>
        <v>2</v>
      </c>
      <c r="AH42" s="2027">
        <f>OFFSET(AH42,0,-1)+1</f>
        <v>3</v>
      </c>
      <c r="AI42" s="2964">
        <f>OFFSET(AI42,0,-1)+1</f>
        <v>4</v>
      </c>
      <c r="AJ42" s="2964"/>
      <c r="AK42" s="2027">
        <f>OFFSET(AK42,0,-2)+1</f>
        <v>5</v>
      </c>
      <c r="AL42" s="1937">
        <f>OFFSET(AL42,0,-1)</f>
        <v>5</v>
      </c>
      <c r="AM42" s="2027">
        <f>OFFSET(AM42,0,-1)+1</f>
        <v>6</v>
      </c>
      <c r="AN42" s="1203"/>
      <c r="AO42" s="1203"/>
      <c r="AP42" s="1203"/>
      <c r="AQ42" s="1203"/>
      <c r="AR42" s="1203"/>
      <c r="AS42" s="1188">
        <v>0</v>
      </c>
    </row>
    <row customHeight="1" ht="22.049999999999997">
      <c r="A43" s="2055" t="s">
        <v>257</v>
      </c>
      <c r="B43" s="2055"/>
      <c r="C43" s="2055"/>
      <c r="D43" s="2055"/>
      <c r="E43" s="2950">
        <v>1</v>
      </c>
      <c r="F43" s="2055"/>
      <c r="G43" s="2055"/>
      <c r="H43" s="2055"/>
      <c r="I43" s="2055"/>
      <c r="J43" s="2055"/>
      <c r="K43" s="2055"/>
      <c r="L43" s="2056"/>
      <c r="M43" s="2057"/>
      <c r="N43" s="2057"/>
      <c r="O43" s="2057"/>
      <c r="P43" s="1053"/>
      <c r="Q43" s="1052"/>
      <c r="R43" s="1047"/>
      <c r="S43" s="2028">
        <f>INDEX(PT_DIFFERENTIATION_NUM_NTAR,MATCH(A43,PT_DIFFERENTIATION_NTAR_ID,0))</f>
        <v>0</v>
      </c>
      <c r="T43" s="990" t="s">
        <v>131</v>
      </c>
      <c r="U43" s="992"/>
      <c r="V43" s="2934"/>
      <c r="W43" s="2935"/>
      <c r="X43" s="2935"/>
      <c r="Y43" s="2935"/>
      <c r="Z43" s="2935"/>
      <c r="AA43" s="2935"/>
      <c r="AB43" s="2935"/>
      <c r="AC43" s="2936"/>
      <c r="AD43" s="2934" t="str">
        <f>INDEX(PT_DIFFERENTIATION_NTAR,MATCH(A43,PT_DIFFERENTIATION_NTAR_ID,0))</f>
        <v/>
      </c>
      <c r="AE43" s="2935"/>
      <c r="AF43" s="2935"/>
      <c r="AG43" s="2935"/>
      <c r="AH43" s="2935"/>
      <c r="AI43" s="2935"/>
      <c r="AJ43" s="2935"/>
      <c r="AK43" s="2935"/>
      <c r="AL43" s="2936"/>
      <c r="AM43" s="195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92"/>
      <c r="AP43" s="1192" t="str">
        <f>IF(T43="","",T43)</f>
        <v>Наименование тарифа</v>
      </c>
      <c r="AQ43" s="1192"/>
      <c r="AR43" s="1192"/>
      <c r="AS43" s="1847">
        <v>21</v>
      </c>
    </row>
    <row customHeight="1" ht="22.049999999999997">
      <c r="A44" s="2055" t="s">
        <v>257</v>
      </c>
      <c r="B44" s="2055" t="s">
        <v>258</v>
      </c>
      <c r="C44" s="2055"/>
      <c r="D44" s="2055"/>
      <c r="E44" s="2951"/>
      <c r="F44" s="2950">
        <v>1</v>
      </c>
      <c r="G44" s="2055"/>
      <c r="H44" s="2055"/>
      <c r="I44" s="2055"/>
      <c r="J44" s="2055"/>
      <c r="K44" s="2055"/>
      <c r="L44" s="2056"/>
      <c r="M44" s="2057"/>
      <c r="N44" s="2057"/>
      <c r="O44" s="2057"/>
      <c r="P44" s="2024"/>
      <c r="Q44" s="1044"/>
      <c r="R44" s="1045"/>
      <c r="S44" s="2028" t="str">
        <f>INDEX(PT_DIFFERENTIATION_NUM_TER,MATCH(B44,PT_DIFFERENTIATION_TER_ID,0))</f>
        <v>.</v>
      </c>
      <c r="T44" s="1000" t="s">
        <v>472</v>
      </c>
      <c r="U44" s="992"/>
      <c r="V44" s="2934"/>
      <c r="W44" s="2935"/>
      <c r="X44" s="2935"/>
      <c r="Y44" s="2935"/>
      <c r="Z44" s="2935"/>
      <c r="AA44" s="2935"/>
      <c r="AB44" s="2935"/>
      <c r="AC44" s="2936"/>
      <c r="AD44" s="2934" t="str">
        <f>INDEX(PT_DIFFERENTIATION_TER,MATCH(B44,PT_DIFFERENTIATION_TER_ID,0))</f>
        <v/>
      </c>
      <c r="AE44" s="2935"/>
      <c r="AF44" s="2935"/>
      <c r="AG44" s="2935"/>
      <c r="AH44" s="2935"/>
      <c r="AI44" s="2935"/>
      <c r="AJ44" s="2935"/>
      <c r="AK44" s="2935"/>
      <c r="AL44" s="2936"/>
      <c r="AM44" s="1950" t="s">
        <v>473</v>
      </c>
      <c r="AO44" s="1192"/>
      <c r="AP44" s="1192" t="str">
        <f>IF(T44="","",T44)</f>
        <v>Территория действия тарифа</v>
      </c>
      <c r="AQ44" s="1192"/>
      <c r="AR44" s="1192"/>
      <c r="AS44" s="1847">
        <v>21</v>
      </c>
    </row>
    <row customHeight="1" ht="24">
      <c r="A45" s="2055" t="s">
        <v>257</v>
      </c>
      <c r="B45" s="2055" t="s">
        <v>258</v>
      </c>
      <c r="C45" s="2055" t="s">
        <v>259</v>
      </c>
      <c r="D45" s="2055"/>
      <c r="E45" s="2951"/>
      <c r="F45" s="2951"/>
      <c r="G45" s="2950">
        <v>1</v>
      </c>
      <c r="H45" s="2055"/>
      <c r="I45" s="2055"/>
      <c r="J45" s="2055"/>
      <c r="K45" s="2055"/>
      <c r="L45" s="2056"/>
      <c r="M45" s="2057"/>
      <c r="N45" s="2057"/>
      <c r="O45" s="2057"/>
      <c r="P45" s="1046"/>
      <c r="Q45" s="1044"/>
      <c r="R45" s="1045"/>
      <c r="S45" s="2028" t="str">
        <f>INDEX(PT_DIFFERENTIATION_NUM_CS,MATCH(C45,PT_DIFFERENTIATION_CS_ID,0))</f>
        <v>..</v>
      </c>
      <c r="T45" s="1001" t="s">
        <v>474</v>
      </c>
      <c r="U45" s="992"/>
      <c r="V45" s="2934"/>
      <c r="W45" s="2935"/>
      <c r="X45" s="2935"/>
      <c r="Y45" s="2935"/>
      <c r="Z45" s="2935"/>
      <c r="AA45" s="2935"/>
      <c r="AB45" s="2935"/>
      <c r="AC45" s="2936"/>
      <c r="AD45" s="2934" t="str">
        <f>INDEX(PT_DIFFERENTIATION_CS,MATCH(C45,PT_DIFFERENTIATION_CS_ID,0))</f>
        <v/>
      </c>
      <c r="AE45" s="2935"/>
      <c r="AF45" s="2935"/>
      <c r="AG45" s="2935"/>
      <c r="AH45" s="2935"/>
      <c r="AI45" s="2935"/>
      <c r="AJ45" s="2935"/>
      <c r="AK45" s="2935"/>
      <c r="AL45" s="2936"/>
      <c r="AM45" s="1950" t="s">
        <v>475</v>
      </c>
      <c r="AO45" s="1192"/>
      <c r="AP45" s="1192" t="str">
        <f>IF(T45="","",T45)</f>
        <v>Наименование системы теплоснабжения </v>
      </c>
      <c r="AQ45" s="1192"/>
      <c r="AR45" s="1192"/>
      <c r="AS45" s="1847">
        <v>23</v>
      </c>
    </row>
    <row customHeight="1" ht="22.049999999999997">
      <c r="A46" s="2055" t="s">
        <v>257</v>
      </c>
      <c r="B46" s="2055" t="s">
        <v>258</v>
      </c>
      <c r="C46" s="2055" t="s">
        <v>259</v>
      </c>
      <c r="D46" s="2055" t="s">
        <v>260</v>
      </c>
      <c r="E46" s="2951"/>
      <c r="F46" s="2951"/>
      <c r="G46" s="2951"/>
      <c r="H46" s="2950">
        <v>1</v>
      </c>
      <c r="I46" s="2055"/>
      <c r="J46" s="2055"/>
      <c r="K46" s="2055"/>
      <c r="L46" s="2056"/>
      <c r="M46" s="2057"/>
      <c r="N46" s="2057"/>
      <c r="O46" s="2057"/>
      <c r="P46" s="1046"/>
      <c r="Q46" s="1044"/>
      <c r="R46" s="1045"/>
      <c r="S46" s="2028" t="str">
        <f>INDEX(PT_DIFFERENTIATION_NUM_IST_TE,MATCH(D46,PT_DIFFERENTIATION_IST_TE_ID,0))</f>
        <v>...</v>
      </c>
      <c r="T46" s="1002" t="s">
        <v>476</v>
      </c>
      <c r="U46" s="992"/>
      <c r="V46" s="2934"/>
      <c r="W46" s="2935"/>
      <c r="X46" s="2935"/>
      <c r="Y46" s="2935"/>
      <c r="Z46" s="2935"/>
      <c r="AA46" s="2935"/>
      <c r="AB46" s="2935"/>
      <c r="AC46" s="2936"/>
      <c r="AD46" s="2934" t="str">
        <f>INDEX(PT_DIFFERENTIATION_IST_TE,MATCH(D46,PT_DIFFERENTIATION_IST_TE_ID,0))</f>
        <v/>
      </c>
      <c r="AE46" s="2935"/>
      <c r="AF46" s="2935"/>
      <c r="AG46" s="2935"/>
      <c r="AH46" s="2935"/>
      <c r="AI46" s="2935"/>
      <c r="AJ46" s="2935"/>
      <c r="AK46" s="2935"/>
      <c r="AL46" s="2936"/>
      <c r="AM46" s="1950" t="s">
        <v>477</v>
      </c>
      <c r="AO46" s="1192"/>
      <c r="AP46" s="1192" t="str">
        <f>IF(T46="","",T46)</f>
        <v>Источник тепловой энергии  </v>
      </c>
      <c r="AQ46" s="1192"/>
      <c r="AR46" s="1192"/>
      <c r="AS46" s="1847">
        <v>21</v>
      </c>
    </row>
    <row s="61695" customFormat="1" customHeight="1" ht="0">
      <c r="A47" s="2035" t="s">
        <v>257</v>
      </c>
      <c r="B47" s="2035" t="s">
        <v>258</v>
      </c>
      <c r="C47" s="2035" t="s">
        <v>259</v>
      </c>
      <c r="D47" s="2035" t="s">
        <v>260</v>
      </c>
      <c r="E47" s="2951"/>
      <c r="F47" s="2951"/>
      <c r="G47" s="2951"/>
      <c r="H47" s="2951"/>
      <c r="I47" s="2948" t="str">
        <f>S46&amp;".1"</f>
        <v>....1</v>
      </c>
      <c r="J47" s="2035"/>
      <c r="K47" s="2035"/>
      <c r="L47" s="2038" t="s">
        <v>478</v>
      </c>
      <c r="M47" s="1202"/>
      <c r="N47" s="1202"/>
      <c r="O47" s="1202"/>
      <c r="P47" s="2949">
        <v>1</v>
      </c>
      <c r="Q47" s="2023"/>
      <c r="R47" s="1048"/>
      <c r="S47" s="1734"/>
      <c r="T47" s="2075"/>
      <c r="U47" s="2076"/>
      <c r="V47" s="2988"/>
      <c r="W47" s="2989"/>
      <c r="X47" s="2989"/>
      <c r="Y47" s="2989"/>
      <c r="Z47" s="2989"/>
      <c r="AA47" s="2989"/>
      <c r="AB47" s="2989"/>
      <c r="AC47" s="2990"/>
      <c r="AD47" s="2988"/>
      <c r="AE47" s="2989"/>
      <c r="AF47" s="2989"/>
      <c r="AG47" s="2989"/>
      <c r="AH47" s="2989"/>
      <c r="AI47" s="2989"/>
      <c r="AJ47" s="2989"/>
      <c r="AK47" s="2989"/>
      <c r="AL47" s="2990"/>
      <c r="AM47" s="2077"/>
      <c r="AO47" s="1192"/>
      <c r="AP47" s="1192" t="str">
        <f>IF(T47="","",T47)</f>
        <v/>
      </c>
      <c r="AQ47" s="1192"/>
      <c r="AR47" s="1192"/>
      <c r="AS47" s="1203">
        <v>0</v>
      </c>
    </row>
    <row customHeight="1" ht="22.049999999999997">
      <c r="A48" s="2055" t="s">
        <v>257</v>
      </c>
      <c r="B48" s="2055" t="s">
        <v>258</v>
      </c>
      <c r="C48" s="2055" t="s">
        <v>259</v>
      </c>
      <c r="D48" s="2055" t="s">
        <v>260</v>
      </c>
      <c r="E48" s="2951"/>
      <c r="F48" s="2951"/>
      <c r="G48" s="2951"/>
      <c r="H48" s="2951"/>
      <c r="I48" s="2978"/>
      <c r="J48" s="2948" t="str">
        <f>S46&amp;".1"</f>
        <v>....1</v>
      </c>
      <c r="K48" s="2055"/>
      <c r="L48" s="2056" t="s">
        <v>481</v>
      </c>
      <c r="P48" s="2949"/>
      <c r="Q48" s="2949">
        <v>1</v>
      </c>
      <c r="R48" s="1049"/>
      <c r="S48" s="2028" t="str">
        <f>$J48</f>
        <v>....1</v>
      </c>
      <c r="T48" s="978" t="s">
        <v>482</v>
      </c>
      <c r="U48" s="992"/>
      <c r="V48" s="2937"/>
      <c r="W48" s="2938"/>
      <c r="X48" s="2938"/>
      <c r="Y48" s="2938"/>
      <c r="Z48" s="2938"/>
      <c r="AA48" s="2938"/>
      <c r="AB48" s="2938"/>
      <c r="AC48" s="2939"/>
      <c r="AD48" s="2937"/>
      <c r="AE48" s="2938"/>
      <c r="AF48" s="2938"/>
      <c r="AG48" s="2938"/>
      <c r="AH48" s="2938"/>
      <c r="AI48" s="2938"/>
      <c r="AJ48" s="2938"/>
      <c r="AK48" s="2938"/>
      <c r="AL48" s="2939"/>
      <c r="AM48" s="1950" t="s">
        <v>483</v>
      </c>
      <c r="AO48" s="1192"/>
      <c r="AP48" s="1192" t="str">
        <f>IF(T48="","",T48)</f>
        <v>Группа потребителей</v>
      </c>
      <c r="AQ48" s="1192"/>
      <c r="AR48" s="1192"/>
      <c r="AS48" s="1847">
        <v>21</v>
      </c>
    </row>
    <row customHeight="1" ht="22.049999999999997">
      <c r="A49" s="2055" t="s">
        <v>257</v>
      </c>
      <c r="B49" s="2055" t="s">
        <v>258</v>
      </c>
      <c r="C49" s="2055" t="s">
        <v>259</v>
      </c>
      <c r="D49" s="2055" t="s">
        <v>260</v>
      </c>
      <c r="E49" s="2951"/>
      <c r="F49" s="2951"/>
      <c r="G49" s="2951"/>
      <c r="H49" s="2951"/>
      <c r="I49" s="2978"/>
      <c r="J49" s="2978"/>
      <c r="K49" s="2948" t="str">
        <f>J48&amp;".1"</f>
        <v>....1.1</v>
      </c>
      <c r="L49" s="2056" t="s">
        <v>484</v>
      </c>
      <c r="P49" s="2949"/>
      <c r="Q49" s="2949"/>
      <c r="R49" s="1049">
        <v>1</v>
      </c>
      <c r="S49" s="2028" t="str">
        <f>$K49</f>
        <v>....1.1</v>
      </c>
      <c r="T49" s="2039"/>
      <c r="U49" s="992"/>
      <c r="V49" s="1443"/>
      <c r="W49" s="1017"/>
      <c r="X49" s="1443"/>
      <c r="Y49" s="1949"/>
      <c r="Z49" s="2957"/>
      <c r="AA49" s="2799" t="s">
        <v>67</v>
      </c>
      <c r="AB49" s="2957"/>
      <c r="AC49" s="2799" t="s">
        <v>67</v>
      </c>
      <c r="AD49" s="1443"/>
      <c r="AE49" s="1017"/>
      <c r="AF49" s="1443"/>
      <c r="AG49" s="1949"/>
      <c r="AH49" s="2957"/>
      <c r="AI49" s="2799" t="s">
        <v>67</v>
      </c>
      <c r="AJ49" s="2979"/>
      <c r="AK49" s="2799" t="s">
        <v>67</v>
      </c>
      <c r="AL49" s="2040"/>
      <c r="AM49" s="2945" t="s">
        <v>525</v>
      </c>
      <c r="AN49" s="1203">
        <f>STRCHECKDATE(V50:AL50)</f>
      </c>
      <c r="AO49" s="1192"/>
      <c r="AP49" s="1192" t="str">
        <f>IF(T49="","",T49)</f>
        <v/>
      </c>
      <c r="AQ49" s="1192"/>
      <c r="AR49" s="1192"/>
      <c r="AS49" s="1847">
        <v>21</v>
      </c>
    </row>
    <row customHeight="1" ht="1.05">
      <c r="A50" s="2055" t="s">
        <v>257</v>
      </c>
      <c r="B50" s="2055" t="s">
        <v>258</v>
      </c>
      <c r="C50" s="2055" t="s">
        <v>259</v>
      </c>
      <c r="D50" s="2055" t="s">
        <v>260</v>
      </c>
      <c r="E50" s="2951"/>
      <c r="F50" s="2951"/>
      <c r="G50" s="2951"/>
      <c r="H50" s="2951"/>
      <c r="I50" s="2978"/>
      <c r="J50" s="2978"/>
      <c r="K50" s="2948"/>
      <c r="L50" s="2056"/>
      <c r="P50" s="2949"/>
      <c r="Q50" s="2949"/>
      <c r="R50" s="1049"/>
      <c r="S50" s="2034"/>
      <c r="T50" s="992"/>
      <c r="U50" s="992"/>
      <c r="V50" s="1017"/>
      <c r="W50" s="1017"/>
      <c r="X50" s="1017"/>
      <c r="Y50" s="1020" t="str">
        <f>Z49&amp;"-"&amp;AB49</f>
        <v>-</v>
      </c>
      <c r="Z50" s="2958"/>
      <c r="AA50" s="2799"/>
      <c r="AB50" s="2958"/>
      <c r="AC50" s="2799"/>
      <c r="AD50" s="1017"/>
      <c r="AE50" s="1017"/>
      <c r="AF50" s="1017"/>
      <c r="AG50" s="1020" t="str">
        <f>AH49&amp;"-"&amp;AJ49</f>
        <v>-</v>
      </c>
      <c r="AH50" s="2958"/>
      <c r="AI50" s="2799"/>
      <c r="AJ50" s="2980"/>
      <c r="AK50" s="2799"/>
      <c r="AL50" s="2041"/>
      <c r="AM50" s="2946"/>
      <c r="AO50" s="1192"/>
      <c r="AP50" s="1192" t="str">
        <f>IF(T50="","",T50)</f>
        <v/>
      </c>
      <c r="AQ50" s="1192"/>
      <c r="AR50" s="1192"/>
      <c r="AS50" s="1847">
        <v>1</v>
      </c>
    </row>
    <row customHeight="1" ht="11.549999999999999">
      <c r="A51" s="2055" t="s">
        <v>257</v>
      </c>
      <c r="B51" s="2055" t="s">
        <v>258</v>
      </c>
      <c r="C51" s="2055" t="s">
        <v>259</v>
      </c>
      <c r="D51" s="2055" t="s">
        <v>260</v>
      </c>
      <c r="E51" s="2951"/>
      <c r="F51" s="2951"/>
      <c r="G51" s="2951"/>
      <c r="H51" s="2951"/>
      <c r="I51" s="2978"/>
      <c r="J51" s="2948"/>
      <c r="K51" s="2055"/>
      <c r="L51" s="2056"/>
      <c r="P51" s="2949"/>
      <c r="Q51" s="2949"/>
      <c r="R51" s="1048"/>
      <c r="S51" s="1970"/>
      <c r="T51" s="979" t="s">
        <v>486</v>
      </c>
      <c r="U51" s="1059"/>
      <c r="V51" s="1059"/>
      <c r="W51" s="1059"/>
      <c r="X51" s="1059"/>
      <c r="Y51" s="1059"/>
      <c r="Z51" s="1059"/>
      <c r="AA51" s="1059"/>
      <c r="AB51" s="1059"/>
      <c r="AC51" s="1059"/>
      <c r="AD51" s="1059"/>
      <c r="AE51" s="1059"/>
      <c r="AF51" s="1059"/>
      <c r="AG51" s="1059"/>
      <c r="AH51" s="1059"/>
      <c r="AI51" s="1059"/>
      <c r="AJ51" s="1059"/>
      <c r="AK51" s="1059"/>
      <c r="AL51" s="1016"/>
      <c r="AM51" s="2947"/>
      <c r="AO51" s="1192"/>
      <c r="AP51" s="1192" t="str">
        <f>IF(T51="","",T51)</f>
        <v>Добавить вид теплоносителя (параметры теплоносителя)</v>
      </c>
      <c r="AQ51" s="1192"/>
      <c r="AR51" s="1192"/>
      <c r="AS51" s="1847">
        <v>11</v>
      </c>
    </row>
    <row customHeight="1" ht="11.549999999999999">
      <c r="A52" s="2055" t="s">
        <v>257</v>
      </c>
      <c r="B52" s="2055" t="s">
        <v>258</v>
      </c>
      <c r="C52" s="2055" t="s">
        <v>259</v>
      </c>
      <c r="D52" s="2055" t="s">
        <v>260</v>
      </c>
      <c r="E52" s="2951"/>
      <c r="F52" s="2951"/>
      <c r="G52" s="2951"/>
      <c r="H52" s="2951"/>
      <c r="I52" s="2948"/>
      <c r="J52" s="2055"/>
      <c r="K52" s="2055"/>
      <c r="L52" s="2056"/>
      <c r="P52" s="2949"/>
      <c r="Q52" s="2023"/>
      <c r="R52" s="1048"/>
      <c r="S52" s="1970"/>
      <c r="T52" s="1057" t="s">
        <v>487</v>
      </c>
      <c r="U52" s="1059"/>
      <c r="V52" s="1059"/>
      <c r="W52" s="1059"/>
      <c r="X52" s="1059"/>
      <c r="Y52" s="1059"/>
      <c r="Z52" s="1059"/>
      <c r="AA52" s="1059"/>
      <c r="AB52" s="1059"/>
      <c r="AC52" s="1058"/>
      <c r="AD52" s="1059"/>
      <c r="AE52" s="1059"/>
      <c r="AF52" s="1059"/>
      <c r="AG52" s="1059"/>
      <c r="AH52" s="1059"/>
      <c r="AI52" s="1059"/>
      <c r="AJ52" s="1059"/>
      <c r="AK52" s="1058"/>
      <c r="AL52" s="1059"/>
      <c r="AM52" s="995"/>
      <c r="AO52" s="1192"/>
      <c r="AP52" s="1192" t="str">
        <f>IF(T52="","",T52)</f>
        <v>Добавить группу потребителей</v>
      </c>
      <c r="AQ52" s="1192"/>
      <c r="AR52" s="1192"/>
      <c r="AS52" s="1847">
        <v>11</v>
      </c>
    </row>
    <row customHeight="1" ht="0">
      <c r="A53" s="2055" t="s">
        <v>257</v>
      </c>
      <c r="B53" s="2055" t="s">
        <v>258</v>
      </c>
      <c r="C53" s="2055" t="s">
        <v>259</v>
      </c>
      <c r="D53" s="2055" t="s">
        <v>260</v>
      </c>
      <c r="E53" s="2951"/>
      <c r="F53" s="2951"/>
      <c r="G53" s="2951"/>
      <c r="H53" s="2950"/>
      <c r="I53" s="2055"/>
      <c r="J53" s="2055"/>
      <c r="K53" s="2055"/>
      <c r="L53" s="2056"/>
      <c r="M53" s="2057"/>
      <c r="N53" s="2057"/>
      <c r="O53" s="1229"/>
      <c r="P53" s="1052"/>
      <c r="Q53" s="1067"/>
      <c r="R53" s="1047"/>
      <c r="S53" s="2078"/>
      <c r="T53" s="2079"/>
      <c r="U53" s="2080"/>
      <c r="V53" s="2080"/>
      <c r="W53" s="2080"/>
      <c r="X53" s="2080"/>
      <c r="Y53" s="2080"/>
      <c r="Z53" s="2080"/>
      <c r="AA53" s="2080"/>
      <c r="AB53" s="2080"/>
      <c r="AC53" s="2080"/>
      <c r="AD53" s="2080"/>
      <c r="AE53" s="2080"/>
      <c r="AF53" s="2080"/>
      <c r="AG53" s="2080"/>
      <c r="AH53" s="2080"/>
      <c r="AI53" s="2080"/>
      <c r="AJ53" s="2080"/>
      <c r="AK53" s="2080"/>
      <c r="AL53" s="2080"/>
      <c r="AM53" s="2081"/>
      <c r="AO53" s="1192"/>
      <c r="AP53" s="1192" t="str">
        <f>IF(T53="","",T53)</f>
        <v/>
      </c>
      <c r="AQ53" s="1192"/>
      <c r="AR53" s="1192"/>
      <c r="AS53" s="1847">
        <v>0</v>
      </c>
    </row>
    <row s="61695" customFormat="1" customHeight="1" ht="1.05">
      <c r="A54" s="2035" t="s">
        <v>257</v>
      </c>
      <c r="B54" s="2035" t="s">
        <v>258</v>
      </c>
      <c r="C54" s="2035" t="s">
        <v>259</v>
      </c>
      <c r="D54" s="2006"/>
      <c r="E54" s="2951"/>
      <c r="F54" s="2951"/>
      <c r="G54" s="2950"/>
      <c r="H54" s="2006"/>
      <c r="I54" s="2006"/>
      <c r="J54" s="2006"/>
      <c r="K54" s="2006"/>
      <c r="L54" s="2031"/>
      <c r="M54" s="2007"/>
      <c r="N54" s="2007"/>
      <c r="P54" s="2008"/>
      <c r="Q54" s="2009"/>
      <c r="R54" s="2008"/>
      <c r="S54" s="2014"/>
      <c r="T54" s="2017" t="s">
        <v>171</v>
      </c>
      <c r="U54" s="2016"/>
      <c r="V54" s="2016"/>
      <c r="W54" s="2016"/>
      <c r="X54" s="2016"/>
      <c r="Y54" s="2016"/>
      <c r="Z54" s="2016"/>
      <c r="AA54" s="2016"/>
      <c r="AB54" s="2016"/>
      <c r="AC54" s="2016"/>
      <c r="AD54" s="2016"/>
      <c r="AE54" s="2016"/>
      <c r="AF54" s="2016"/>
      <c r="AG54" s="2016"/>
      <c r="AH54" s="2016"/>
      <c r="AI54" s="2016"/>
      <c r="AJ54" s="2016"/>
      <c r="AK54" s="2016"/>
      <c r="AL54" s="2016"/>
      <c r="AM54" s="2016"/>
      <c r="AO54" s="1481"/>
      <c r="AP54" s="1481" t="str">
        <f>IF(T54="","",T54)</f>
        <v>Добавить источник для дифференциации</v>
      </c>
      <c r="AQ54" s="1481"/>
      <c r="AR54" s="1481"/>
      <c r="AS54" s="1210">
        <v>1</v>
      </c>
    </row>
    <row s="61695" customFormat="1" customHeight="1" ht="1.05">
      <c r="A55" s="2035" t="s">
        <v>257</v>
      </c>
      <c r="B55" s="2035" t="s">
        <v>258</v>
      </c>
      <c r="C55" s="2006"/>
      <c r="D55" s="2006"/>
      <c r="E55" s="2951"/>
      <c r="F55" s="2950"/>
      <c r="G55" s="2006"/>
      <c r="H55" s="2006"/>
      <c r="I55" s="2006"/>
      <c r="J55" s="2006"/>
      <c r="K55" s="2006"/>
      <c r="L55" s="2031"/>
      <c r="M55" s="2013"/>
      <c r="N55" s="2013"/>
      <c r="P55" s="2008"/>
      <c r="Q55" s="2009"/>
      <c r="R55" s="2008"/>
      <c r="S55" s="2014"/>
      <c r="T55" s="2017" t="s">
        <v>172</v>
      </c>
      <c r="U55" s="2016"/>
      <c r="V55" s="2016"/>
      <c r="W55" s="2016"/>
      <c r="X55" s="2016"/>
      <c r="Y55" s="2016"/>
      <c r="Z55" s="2016"/>
      <c r="AA55" s="2016"/>
      <c r="AB55" s="2016"/>
      <c r="AC55" s="2016"/>
      <c r="AD55" s="2016"/>
      <c r="AE55" s="2016"/>
      <c r="AF55" s="2016"/>
      <c r="AG55" s="2016"/>
      <c r="AH55" s="2016"/>
      <c r="AI55" s="2016"/>
      <c r="AJ55" s="2016"/>
      <c r="AK55" s="2016"/>
      <c r="AL55" s="2016"/>
      <c r="AM55" s="2016"/>
      <c r="AO55" s="1481"/>
      <c r="AP55" s="1481" t="str">
        <f>IF(T55="","",T55)</f>
        <v>Добавить централизованную систему для дифференциации</v>
      </c>
      <c r="AQ55" s="1481"/>
      <c r="AR55" s="1481"/>
      <c r="AS55" s="1210">
        <v>1</v>
      </c>
    </row>
    <row s="61695" customFormat="1" customHeight="1" ht="1.05">
      <c r="A56" s="2035" t="s">
        <v>257</v>
      </c>
      <c r="B56" s="2035"/>
      <c r="C56" s="2035"/>
      <c r="D56" s="2035"/>
      <c r="E56" s="2950"/>
      <c r="F56" s="2035"/>
      <c r="G56" s="2035"/>
      <c r="H56" s="2035"/>
      <c r="I56" s="2035"/>
      <c r="J56" s="2035"/>
      <c r="K56" s="2035"/>
      <c r="L56" s="2038"/>
      <c r="M56" s="2013"/>
      <c r="N56" s="2013"/>
      <c r="O56" s="1210"/>
      <c r="P56" s="1072"/>
      <c r="Q56" s="2036"/>
      <c r="R56" s="1072"/>
      <c r="S56" s="2014"/>
      <c r="T56" s="2017" t="s">
        <v>173</v>
      </c>
      <c r="U56" s="2016"/>
      <c r="V56" s="2016"/>
      <c r="W56" s="2016"/>
      <c r="X56" s="2016"/>
      <c r="Y56" s="2016"/>
      <c r="Z56" s="2016"/>
      <c r="AA56" s="2016"/>
      <c r="AB56" s="2016"/>
      <c r="AC56" s="2016"/>
      <c r="AD56" s="2016"/>
      <c r="AE56" s="2016"/>
      <c r="AF56" s="2016"/>
      <c r="AG56" s="2016"/>
      <c r="AH56" s="2016"/>
      <c r="AI56" s="2016"/>
      <c r="AJ56" s="2016"/>
      <c r="AK56" s="2016"/>
      <c r="AL56" s="2016"/>
      <c r="AM56" s="2016"/>
      <c r="AO56" s="1192"/>
      <c r="AP56" s="1192" t="str">
        <f>IF(T56="","",T56)</f>
        <v>Добавить территорию для дифференциации</v>
      </c>
      <c r="AQ56" s="1192"/>
      <c r="AR56" s="1192"/>
      <c r="AS56" s="1203">
        <v>1</v>
      </c>
    </row>
    <row s="61695" customFormat="1" customHeight="1" ht="1.05">
      <c r="A57" s="2006"/>
      <c r="B57" s="2006"/>
      <c r="C57" s="2006"/>
      <c r="D57" s="2006"/>
      <c r="E57" s="2035"/>
      <c r="F57" s="2006"/>
      <c r="G57" s="2006"/>
      <c r="H57" s="2006"/>
      <c r="I57" s="2006"/>
      <c r="J57" s="2006"/>
      <c r="K57" s="2006"/>
      <c r="L57" s="2031"/>
      <c r="M57" s="2013"/>
      <c r="N57" s="2013"/>
      <c r="P57" s="2008"/>
      <c r="Q57" s="2009"/>
      <c r="R57" s="2008"/>
      <c r="S57" s="2014"/>
      <c r="T57" s="2017" t="s">
        <v>186</v>
      </c>
      <c r="U57" s="2016"/>
      <c r="V57" s="2016"/>
      <c r="W57" s="2016"/>
      <c r="X57" s="2016"/>
      <c r="Y57" s="2016"/>
      <c r="Z57" s="2016"/>
      <c r="AA57" s="2016"/>
      <c r="AB57" s="2016"/>
      <c r="AC57" s="2016"/>
      <c r="AD57" s="2016"/>
      <c r="AE57" s="2016"/>
      <c r="AF57" s="2016"/>
      <c r="AG57" s="2016"/>
      <c r="AH57" s="2016"/>
      <c r="AI57" s="2016"/>
      <c r="AJ57" s="2016"/>
      <c r="AK57" s="2016"/>
      <c r="AL57" s="2016"/>
      <c r="AM57" s="2016"/>
      <c r="AO57" s="1481"/>
      <c r="AP57" s="1481" t="str">
        <f>IF(T57="","",T57)</f>
        <v>Добавить наименование тарифа</v>
      </c>
      <c r="AQ57" s="1481"/>
      <c r="AR57" s="1481"/>
      <c r="AS57" s="1210">
        <v>1</v>
      </c>
    </row>
    <row customHeight="1" ht="11.549999999999999">
      <c r="M58" s="1852"/>
      <c r="N58" s="1852"/>
      <c r="O58" s="1229"/>
      <c r="P58" s="1847"/>
      <c r="Q58" s="1847"/>
      <c r="R58" s="1847"/>
      <c r="S58" s="1847"/>
      <c r="AN58" s="1847"/>
      <c r="AO58" s="1847"/>
      <c r="AP58" s="1847"/>
      <c r="AQ58" s="1847"/>
      <c r="AR58" s="1847"/>
      <c r="AS58" s="1847">
        <v>11</v>
      </c>
    </row>
    <row customHeight="1" ht="23.25">
      <c r="O59" s="1229"/>
      <c r="S59" s="1945"/>
      <c r="T59" s="2977"/>
      <c r="U59" s="2977"/>
      <c r="V59" s="2977"/>
      <c r="W59" s="2977"/>
      <c r="X59" s="2977"/>
      <c r="Y59" s="2977"/>
      <c r="Z59" s="2977"/>
      <c r="AA59" s="2977"/>
      <c r="AB59" s="2977"/>
      <c r="AC59" s="2977"/>
      <c r="AD59" s="2977"/>
      <c r="AE59" s="2977"/>
      <c r="AF59" s="2977"/>
      <c r="AG59" s="2977"/>
      <c r="AH59" s="2977"/>
      <c r="AI59" s="2977"/>
      <c r="AJ59" s="2977"/>
      <c r="AK59" s="2977"/>
      <c r="AL59" s="2977"/>
      <c r="AM59" s="2977"/>
      <c r="AS59" s="1847">
        <v>22</v>
      </c>
    </row>
    <row customHeight="1" ht="30.45">
      <c r="O60" s="1229"/>
      <c r="T60" s="2977"/>
      <c r="U60" s="2977"/>
      <c r="V60" s="2977"/>
      <c r="W60" s="2977"/>
      <c r="X60" s="2977"/>
      <c r="Y60" s="2977"/>
      <c r="Z60" s="2977"/>
      <c r="AA60" s="2977"/>
      <c r="AB60" s="2977"/>
      <c r="AC60" s="2977"/>
      <c r="AD60" s="2977"/>
      <c r="AE60" s="2977"/>
      <c r="AF60" s="2977"/>
      <c r="AG60" s="2977"/>
      <c r="AH60" s="2977"/>
      <c r="AI60" s="2977"/>
      <c r="AJ60" s="2977"/>
      <c r="AK60" s="2977"/>
      <c r="AL60" s="2977"/>
      <c r="AM60" s="2977"/>
      <c r="AS60" s="1847">
        <v>29</v>
      </c>
    </row>
    <row customHeight="1" ht="42">
      <c r="O61" s="1229"/>
      <c r="T61" s="2977"/>
      <c r="U61" s="2977"/>
      <c r="V61" s="2977"/>
      <c r="W61" s="2977"/>
      <c r="X61" s="2977"/>
      <c r="Y61" s="2977"/>
      <c r="Z61" s="2977"/>
      <c r="AA61" s="2977"/>
      <c r="AB61" s="2977"/>
      <c r="AC61" s="2977"/>
      <c r="AD61" s="2977"/>
      <c r="AE61" s="2977"/>
      <c r="AF61" s="2977"/>
      <c r="AG61" s="2977"/>
      <c r="AH61" s="2977"/>
      <c r="AI61" s="2977"/>
      <c r="AJ61" s="2977"/>
      <c r="AK61" s="2977"/>
      <c r="AL61" s="2977"/>
      <c r="AM61" s="2977"/>
      <c r="AS61" s="1847">
        <v>40</v>
      </c>
    </row>
    <row customHeight="1" ht="14.699999999999998">
      <c r="O62" s="1229"/>
      <c r="AS62" s="1847">
        <v>14</v>
      </c>
    </row>
    <row customHeight="1" ht="21">
      <c r="O63" s="1229"/>
      <c r="S63" s="1945"/>
      <c r="T63" s="2991"/>
      <c r="U63" s="2977"/>
      <c r="V63" s="2977"/>
      <c r="W63" s="2977"/>
      <c r="X63" s="2977"/>
      <c r="Y63" s="2977"/>
      <c r="Z63" s="2977"/>
      <c r="AA63" s="2977"/>
      <c r="AB63" s="2977"/>
      <c r="AC63" s="2977"/>
      <c r="AD63" s="2977"/>
      <c r="AE63" s="2977"/>
      <c r="AF63" s="2977"/>
      <c r="AG63" s="2977"/>
      <c r="AH63" s="2977"/>
      <c r="AI63" s="2977"/>
      <c r="AJ63" s="2977"/>
      <c r="AK63" s="2977"/>
      <c r="AL63" s="2977"/>
      <c r="AM63" s="2977"/>
      <c r="AS63" s="1847">
        <v>20</v>
      </c>
    </row>
    <row customHeight="1" ht="29.25">
      <c r="O64" s="1229"/>
      <c r="T64" s="2977"/>
      <c r="U64" s="2977"/>
      <c r="V64" s="2977"/>
      <c r="W64" s="2977"/>
      <c r="X64" s="2977"/>
      <c r="Y64" s="2977"/>
      <c r="Z64" s="2977"/>
      <c r="AA64" s="2977"/>
      <c r="AB64" s="2977"/>
      <c r="AC64" s="2977"/>
      <c r="AD64" s="2977"/>
      <c r="AE64" s="2977"/>
      <c r="AF64" s="2977"/>
      <c r="AG64" s="2977"/>
      <c r="AH64" s="2977"/>
      <c r="AI64" s="2977"/>
      <c r="AJ64" s="2977"/>
      <c r="AK64" s="2977"/>
      <c r="AL64" s="2977"/>
      <c r="AM64" s="2977"/>
      <c r="AS64" s="1847">
        <v>28</v>
      </c>
    </row>
    <row customHeight="1" ht="35.699999999999996">
      <c r="T65" s="2977"/>
      <c r="U65" s="2977"/>
      <c r="V65" s="2977"/>
      <c r="W65" s="2977"/>
      <c r="X65" s="2977"/>
      <c r="Y65" s="2977"/>
      <c r="Z65" s="2977"/>
      <c r="AA65" s="2977"/>
      <c r="AB65" s="2977"/>
      <c r="AC65" s="2977"/>
      <c r="AD65" s="2977"/>
      <c r="AE65" s="2977"/>
      <c r="AF65" s="2977"/>
      <c r="AG65" s="2977"/>
      <c r="AH65" s="2977"/>
      <c r="AI65" s="2977"/>
      <c r="AJ65" s="2977"/>
      <c r="AK65" s="2977"/>
      <c r="AL65" s="2977"/>
      <c r="AM65" s="2977"/>
      <c r="AS65" s="1847">
        <v>34</v>
      </c>
    </row>
    <row customHeight="1" ht="22.5" hidden="1">
      <c r="A66" s="1852" t="s">
        <v>83</v>
      </c>
      <c r="B66" s="1852">
        <v>0</v>
      </c>
      <c r="C66" s="1852">
        <v>0</v>
      </c>
      <c r="D66" s="1852">
        <v>0</v>
      </c>
      <c r="E66" s="1852">
        <v>0</v>
      </c>
      <c r="F66" s="1852">
        <v>0</v>
      </c>
      <c r="G66" s="1852">
        <v>0</v>
      </c>
      <c r="H66" s="1852">
        <v>0</v>
      </c>
      <c r="I66" s="1852">
        <v>0</v>
      </c>
      <c r="J66" s="1852">
        <v>0</v>
      </c>
      <c r="K66" s="1852">
        <v>0</v>
      </c>
      <c r="L66" s="2021">
        <v>0</v>
      </c>
      <c r="M66" s="2054">
        <v>0</v>
      </c>
      <c r="N66" s="2054">
        <v>0</v>
      </c>
      <c r="O66" s="2054">
        <v>0</v>
      </c>
      <c r="P66" s="2020">
        <v>0</v>
      </c>
      <c r="Q66" s="1036">
        <v>3</v>
      </c>
      <c r="R66" s="1036">
        <v>3</v>
      </c>
      <c r="S66" s="1273">
        <v>12</v>
      </c>
      <c r="T66" s="1847">
        <v>31</v>
      </c>
      <c r="U66" s="1847">
        <v>0</v>
      </c>
      <c r="V66" s="1847">
        <v>0</v>
      </c>
      <c r="W66" s="1847">
        <v>0</v>
      </c>
      <c r="X66" s="1847">
        <v>0</v>
      </c>
      <c r="Y66" s="1847">
        <v>0</v>
      </c>
      <c r="Z66" s="1847">
        <v>0</v>
      </c>
      <c r="AA66" s="1847">
        <v>0</v>
      </c>
      <c r="AB66" s="1847">
        <v>0</v>
      </c>
      <c r="AC66" s="1847">
        <v>0</v>
      </c>
      <c r="AD66" s="1847">
        <v>24</v>
      </c>
      <c r="AE66" s="1847">
        <v>0</v>
      </c>
      <c r="AF66" s="1847">
        <v>24</v>
      </c>
      <c r="AG66" s="1847">
        <v>24</v>
      </c>
      <c r="AH66" s="1847">
        <v>11</v>
      </c>
      <c r="AI66" s="1847">
        <v>3</v>
      </c>
      <c r="AJ66" s="1847">
        <v>11</v>
      </c>
      <c r="AK66" s="1847">
        <v>0</v>
      </c>
      <c r="AL66" s="1847">
        <v>4</v>
      </c>
      <c r="AM66" s="1847">
        <v>115</v>
      </c>
      <c r="AN66" s="1203">
        <v>10</v>
      </c>
      <c r="AO66" s="1203">
        <v>10</v>
      </c>
      <c r="AP66" s="1203">
        <v>10</v>
      </c>
      <c r="AQ66" s="1203">
        <v>10</v>
      </c>
      <c r="AR66" s="1203">
        <v>10</v>
      </c>
      <c r="AS66" s="1847">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6FE09D-FC63-0061-B1F4-0BC368EDC47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2.00390625" hidden="1" customWidth="1"/>
    <col min="10" max="10" style="62148" width="9.8515625" hidden="1" customWidth="1"/>
    <col min="11" max="11" style="62148" width="11.421875" hidden="1" customWidth="1"/>
    <col min="12" max="12" style="63164" width="19.140625" hidden="1" customWidth="1"/>
    <col min="13" max="14" style="61371" width="12.28125" hidden="1" customWidth="1"/>
    <col min="15" max="15" style="61371" width="23.421875" hidden="1" customWidth="1"/>
    <col min="16" max="16" style="63184" width="3.7109375" hidden="1" customWidth="1"/>
    <col min="17" max="18" style="62288" width="3.00390625" customWidth="1"/>
    <col min="19" max="19" style="63156" width="12.00390625" customWidth="1"/>
    <col min="20" max="20" style="62286" width="31.00390625" customWidth="1"/>
    <col min="21" max="21" style="62286" width="0.140625" customWidth="1"/>
    <col min="22" max="22" style="62286" width="24.7109375" hidden="1" customWidth="1"/>
    <col min="23" max="23" style="62286" width="0.140625" hidden="1" customWidth="1"/>
    <col min="24" max="25" style="62286" width="24.7109375" hidden="1" customWidth="1"/>
    <col min="26" max="26" style="62286" width="11.7109375" hidden="1" customWidth="1"/>
    <col min="27" max="27" style="62286" width="3.7109375" hidden="1" customWidth="1"/>
    <col min="28" max="28" style="62286" width="11.7109375" hidden="1" customWidth="1"/>
    <col min="29" max="29" style="62286" width="8.57421875" hidden="1" customWidth="1"/>
    <col min="30" max="30" style="62286" width="24.7109375" customWidth="1"/>
    <col min="31" max="31" style="62286" width="0.140625" customWidth="1"/>
    <col min="32" max="33" style="62286" width="24.00390625" customWidth="1"/>
    <col min="34" max="34" style="62286" width="11.00390625" customWidth="1"/>
    <col min="35" max="35" style="62286" width="3.7109375" customWidth="1"/>
    <col min="36" max="36" style="62286" width="11.00390625" customWidth="1"/>
    <col min="37" max="37" style="62286" width="8.57421875" hidden="1" customWidth="1"/>
    <col min="38" max="38" style="62286" width="4.00390625" customWidth="1"/>
    <col min="39" max="39" style="62286" width="115.00390625" customWidth="1"/>
    <col min="40" max="44" style="61695" width="10.00390625" customWidth="1"/>
    <col min="45" max="45" style="62286" width="10.57421875" hidden="1"/>
  </cols>
  <sheetData>
    <row customHeight="1" ht="22.5" hidden="1">
      <c r="Y1" s="1019"/>
      <c r="Z1" s="1019"/>
      <c r="AG1" s="1019"/>
      <c r="AH1" s="1019"/>
      <c r="AS1" s="1847" t="s">
        <v>14</v>
      </c>
    </row>
    <row customHeight="1" ht="21" hidden="1">
      <c r="A2" s="2055"/>
      <c r="B2" s="2055"/>
      <c r="C2" s="2055"/>
      <c r="D2" s="2055"/>
      <c r="E2" s="2950">
        <v>1</v>
      </c>
      <c r="F2" s="2055"/>
      <c r="G2" s="2055"/>
      <c r="H2" s="2055"/>
      <c r="I2" s="2055"/>
      <c r="J2" s="2055"/>
      <c r="K2" s="2055"/>
      <c r="L2" s="2056"/>
      <c r="M2" s="2057"/>
      <c r="N2" s="2057"/>
      <c r="O2" s="2057"/>
      <c r="P2" s="1053"/>
      <c r="Q2" s="1052"/>
      <c r="R2" s="1047"/>
      <c r="S2" s="2028">
        <f>INDEX(PT_DIFFERENTIATION_NUM_NTAR,MATCH(A2,PT_DIFFERENTIATION_NTAR_ID,0))</f>
      </c>
      <c r="T2" s="990" t="s">
        <v>131</v>
      </c>
      <c r="U2" s="992"/>
      <c r="V2" s="2934"/>
      <c r="W2" s="2935"/>
      <c r="X2" s="2935"/>
      <c r="Y2" s="2935"/>
      <c r="Z2" s="2935"/>
      <c r="AA2" s="2935"/>
      <c r="AB2" s="2935"/>
      <c r="AC2" s="2936"/>
      <c r="AD2" s="2934">
        <f>INDEX(PT_DIFFERENTIATION_NTAR,MATCH(A2,PT_DIFFERENTIATION_NTAR_ID,0))</f>
      </c>
      <c r="AE2" s="2935"/>
      <c r="AF2" s="2935"/>
      <c r="AG2" s="2935"/>
      <c r="AH2" s="2935"/>
      <c r="AI2" s="2935"/>
      <c r="AJ2" s="2935"/>
      <c r="AK2" s="2935"/>
      <c r="AL2" s="2936"/>
      <c r="AM2" s="1950" t="s">
        <v>471</v>
      </c>
      <c r="AO2" s="1192"/>
      <c r="AP2" s="1192" t="str">
        <f>IF(T2="","",T2)</f>
        <v>Наименование тарифа</v>
      </c>
      <c r="AQ2" s="1192"/>
      <c r="AR2" s="1192"/>
      <c r="AS2" s="1847">
        <v>0</v>
      </c>
    </row>
    <row customHeight="1" ht="21" hidden="1">
      <c r="A3" s="2055"/>
      <c r="B3" s="2055"/>
      <c r="C3" s="2055"/>
      <c r="D3" s="2055"/>
      <c r="E3" s="2951"/>
      <c r="F3" s="2950">
        <v>1</v>
      </c>
      <c r="G3" s="2055"/>
      <c r="H3" s="2055"/>
      <c r="I3" s="2055"/>
      <c r="J3" s="2055"/>
      <c r="K3" s="2055"/>
      <c r="L3" s="2056"/>
      <c r="M3" s="2057"/>
      <c r="N3" s="2057"/>
      <c r="O3" s="2057"/>
      <c r="P3" s="2024"/>
      <c r="Q3" s="1044"/>
      <c r="R3" s="1045"/>
      <c r="S3" s="2028">
        <f>INDEX(PT_DIFFERENTIATION_NUM_TER,MATCH(B3,PT_DIFFERENTIATION_TER_ID,0))</f>
      </c>
      <c r="T3" s="1000" t="s">
        <v>472</v>
      </c>
      <c r="U3" s="992"/>
      <c r="V3" s="2934"/>
      <c r="W3" s="2935"/>
      <c r="X3" s="2935"/>
      <c r="Y3" s="2935"/>
      <c r="Z3" s="2935"/>
      <c r="AA3" s="2935"/>
      <c r="AB3" s="2935"/>
      <c r="AC3" s="2936"/>
      <c r="AD3" s="2934">
        <f>INDEX(PT_DIFFERENTIATION_TER,MATCH(B3,PT_DIFFERENTIATION_TER_ID,0))</f>
      </c>
      <c r="AE3" s="2935"/>
      <c r="AF3" s="2935"/>
      <c r="AG3" s="2935"/>
      <c r="AH3" s="2935"/>
      <c r="AI3" s="2935"/>
      <c r="AJ3" s="2935"/>
      <c r="AK3" s="2935"/>
      <c r="AL3" s="2936"/>
      <c r="AM3" s="1950" t="s">
        <v>473</v>
      </c>
      <c r="AO3" s="1192"/>
      <c r="AP3" s="1192" t="str">
        <f>IF(T3="","",T3)</f>
        <v>Территория действия тарифа</v>
      </c>
      <c r="AQ3" s="1192"/>
      <c r="AR3" s="1192"/>
      <c r="AS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028">
        <f>INDEX(PT_DIFFERENTIATION_NUM_CS,MATCH(C4,PT_DIFFERENTIATION_CS_ID,0))</f>
      </c>
      <c r="T4" s="1001" t="s">
        <v>474</v>
      </c>
      <c r="U4" s="992"/>
      <c r="V4" s="2934"/>
      <c r="W4" s="2935"/>
      <c r="X4" s="2935"/>
      <c r="Y4" s="2935"/>
      <c r="Z4" s="2935"/>
      <c r="AA4" s="2935"/>
      <c r="AB4" s="2935"/>
      <c r="AC4" s="2936"/>
      <c r="AD4" s="2934">
        <f>INDEX(PT_DIFFERENTIATION_CS,MATCH(C4,PT_DIFFERENTIATION_CS_ID,0))</f>
      </c>
      <c r="AE4" s="2935"/>
      <c r="AF4" s="2935"/>
      <c r="AG4" s="2935"/>
      <c r="AH4" s="2935"/>
      <c r="AI4" s="2935"/>
      <c r="AJ4" s="2935"/>
      <c r="AK4" s="2935"/>
      <c r="AL4" s="2936"/>
      <c r="AM4" s="1950" t="s">
        <v>475</v>
      </c>
      <c r="AO4" s="1192"/>
      <c r="AP4" s="1192" t="str">
        <f>IF(T4="","",T4)</f>
        <v>Наименование системы теплоснабжения </v>
      </c>
      <c r="AQ4" s="1192"/>
      <c r="AR4" s="1192"/>
      <c r="AS4" s="1847">
        <v>0</v>
      </c>
    </row>
    <row customHeight="1" ht="21" hidden="1">
      <c r="A5" s="2055"/>
      <c r="B5" s="2055"/>
      <c r="C5" s="2055"/>
      <c r="D5" s="2055"/>
      <c r="E5" s="2951"/>
      <c r="F5" s="2951"/>
      <c r="G5" s="2951"/>
      <c r="H5" s="2950">
        <v>1</v>
      </c>
      <c r="I5" s="2055"/>
      <c r="J5" s="2055"/>
      <c r="K5" s="2055"/>
      <c r="L5" s="2056"/>
      <c r="M5" s="2057"/>
      <c r="N5" s="2057"/>
      <c r="O5" s="2057"/>
      <c r="P5" s="1046"/>
      <c r="Q5" s="1044"/>
      <c r="R5" s="1045"/>
      <c r="S5" s="2028">
        <f>INDEX(PT_DIFFERENTIATION_NUM_IST_TE,MATCH(D5,PT_DIFFERENTIATION_IST_TE_ID,0))</f>
      </c>
      <c r="T5" s="1002" t="s">
        <v>476</v>
      </c>
      <c r="U5" s="992"/>
      <c r="V5" s="2934"/>
      <c r="W5" s="2935"/>
      <c r="X5" s="2935"/>
      <c r="Y5" s="2935"/>
      <c r="Z5" s="2935"/>
      <c r="AA5" s="2935"/>
      <c r="AB5" s="2935"/>
      <c r="AC5" s="2936"/>
      <c r="AD5" s="2934">
        <f>INDEX(PT_DIFFERENTIATION_IST_TE,MATCH(D5,PT_DIFFERENTIATION_IST_TE_ID,0))</f>
      </c>
      <c r="AE5" s="2935"/>
      <c r="AF5" s="2935"/>
      <c r="AG5" s="2935"/>
      <c r="AH5" s="2935"/>
      <c r="AI5" s="2935"/>
      <c r="AJ5" s="2935"/>
      <c r="AK5" s="2935"/>
      <c r="AL5" s="2936"/>
      <c r="AM5" s="1950" t="s">
        <v>477</v>
      </c>
      <c r="AO5" s="1192"/>
      <c r="AP5" s="1192" t="str">
        <f>IF(T5="","",T5)</f>
        <v>Источник тепловой энергии  </v>
      </c>
      <c r="AQ5" s="1192"/>
      <c r="AR5" s="1192"/>
      <c r="AS5" s="1847">
        <v>0</v>
      </c>
    </row>
    <row customHeight="1" ht="14.25" hidden="1">
      <c r="A6" s="2055"/>
      <c r="B6" s="2055"/>
      <c r="C6" s="2055"/>
      <c r="D6" s="2055"/>
      <c r="E6" s="2951"/>
      <c r="F6" s="2951"/>
      <c r="G6" s="2951"/>
      <c r="H6" s="2951"/>
      <c r="I6" s="2948">
        <f>S5&amp;".1"</f>
      </c>
      <c r="J6" s="2055"/>
      <c r="K6" s="2055"/>
      <c r="L6" s="2056" t="s">
        <v>478</v>
      </c>
      <c r="M6" s="1229"/>
      <c r="P6" s="2949">
        <v>1</v>
      </c>
      <c r="Q6" s="2023"/>
      <c r="R6" s="1048"/>
      <c r="S6" s="1734"/>
      <c r="T6" s="2075"/>
      <c r="U6" s="2076"/>
      <c r="V6" s="2988"/>
      <c r="W6" s="2989"/>
      <c r="X6" s="2989"/>
      <c r="Y6" s="2989"/>
      <c r="Z6" s="2989"/>
      <c r="AA6" s="2989"/>
      <c r="AB6" s="2989"/>
      <c r="AC6" s="2990"/>
      <c r="AD6" s="2988"/>
      <c r="AE6" s="2989"/>
      <c r="AF6" s="2989"/>
      <c r="AG6" s="2989"/>
      <c r="AH6" s="2989"/>
      <c r="AI6" s="2989"/>
      <c r="AJ6" s="2989"/>
      <c r="AK6" s="2989"/>
      <c r="AL6" s="2990"/>
      <c r="AM6" s="2077"/>
      <c r="AO6" s="1192"/>
      <c r="AP6" s="1192" t="str">
        <f>IF(T6="","",T6)</f>
        <v/>
      </c>
      <c r="AQ6" s="1192"/>
      <c r="AR6" s="1192"/>
      <c r="AS6" s="1847">
        <v>0</v>
      </c>
    </row>
    <row customHeight="1" ht="21" hidden="1">
      <c r="A7" s="2055"/>
      <c r="B7" s="2055"/>
      <c r="C7" s="2055"/>
      <c r="D7" s="2055"/>
      <c r="E7" s="2951"/>
      <c r="F7" s="2951"/>
      <c r="G7" s="2951"/>
      <c r="H7" s="2951"/>
      <c r="I7" s="2978"/>
      <c r="J7" s="2948">
        <f>I6&amp;".1"</f>
      </c>
      <c r="K7" s="2055"/>
      <c r="L7" s="2056" t="s">
        <v>481</v>
      </c>
      <c r="M7" s="1229"/>
      <c r="N7" s="2058"/>
      <c r="P7" s="2949"/>
      <c r="Q7" s="2949">
        <v>1</v>
      </c>
      <c r="R7" s="1049"/>
      <c r="S7" s="2028">
        <f>$J7</f>
      </c>
      <c r="T7" s="978" t="s">
        <v>482</v>
      </c>
      <c r="U7" s="992"/>
      <c r="V7" s="2937"/>
      <c r="W7" s="2938"/>
      <c r="X7" s="2938"/>
      <c r="Y7" s="2938"/>
      <c r="Z7" s="2938"/>
      <c r="AA7" s="2938"/>
      <c r="AB7" s="2938"/>
      <c r="AC7" s="2939"/>
      <c r="AD7" s="2937"/>
      <c r="AE7" s="2938"/>
      <c r="AF7" s="2938"/>
      <c r="AG7" s="2938"/>
      <c r="AH7" s="2938"/>
      <c r="AI7" s="2938"/>
      <c r="AJ7" s="2938"/>
      <c r="AK7" s="2938"/>
      <c r="AL7" s="2939"/>
      <c r="AM7" s="1950" t="s">
        <v>483</v>
      </c>
      <c r="AO7" s="1192"/>
      <c r="AP7" s="1192" t="str">
        <f>IF(T7="","",T7)</f>
        <v>Группа потребителей</v>
      </c>
      <c r="AQ7" s="1192"/>
      <c r="AR7" s="1192"/>
      <c r="AS7" s="1847">
        <v>0</v>
      </c>
    </row>
    <row customHeight="1" ht="21" hidden="1">
      <c r="A8" s="2055"/>
      <c r="B8" s="2055"/>
      <c r="C8" s="2055"/>
      <c r="D8" s="2055"/>
      <c r="E8" s="2951"/>
      <c r="F8" s="2951"/>
      <c r="G8" s="2951"/>
      <c r="H8" s="2951"/>
      <c r="I8" s="2978"/>
      <c r="J8" s="2978"/>
      <c r="K8" s="2948">
        <f>J7&amp;".1"</f>
      </c>
      <c r="L8" s="2056" t="s">
        <v>484</v>
      </c>
      <c r="M8" s="1229"/>
      <c r="N8" s="2058"/>
      <c r="O8" s="2058"/>
      <c r="P8" s="2949"/>
      <c r="Q8" s="2949"/>
      <c r="R8" s="1049">
        <v>1</v>
      </c>
      <c r="S8" s="2028">
        <f>$K8</f>
      </c>
      <c r="T8" s="2039"/>
      <c r="U8" s="992"/>
      <c r="V8" s="1443"/>
      <c r="W8" s="1017"/>
      <c r="X8" s="1443"/>
      <c r="Y8" s="1949"/>
      <c r="Z8" s="2957"/>
      <c r="AA8" s="2799" t="s">
        <v>67</v>
      </c>
      <c r="AB8" s="2957"/>
      <c r="AC8" s="2799" t="s">
        <v>67</v>
      </c>
      <c r="AD8" s="1443"/>
      <c r="AE8" s="1017"/>
      <c r="AF8" s="1443"/>
      <c r="AG8" s="1949"/>
      <c r="AH8" s="2957"/>
      <c r="AI8" s="2799" t="s">
        <v>67</v>
      </c>
      <c r="AJ8" s="2957"/>
      <c r="AK8" s="2799" t="s">
        <v>67</v>
      </c>
      <c r="AL8" s="1017"/>
      <c r="AM8" s="2945" t="s">
        <v>485</v>
      </c>
      <c r="AN8" s="1203">
        <f>STRCHECKDATE(V9:AL9)</f>
      </c>
      <c r="AO8" s="1192"/>
      <c r="AP8" s="1192" t="str">
        <f>IF(T8="","",T8)</f>
        <v/>
      </c>
      <c r="AQ8" s="1192"/>
      <c r="AR8" s="1192"/>
      <c r="AS8" s="1847">
        <v>0</v>
      </c>
    </row>
    <row customHeight="1" ht="14.25" hidden="1">
      <c r="A9" s="2055"/>
      <c r="B9" s="2055"/>
      <c r="C9" s="2055"/>
      <c r="D9" s="2055"/>
      <c r="E9" s="2951"/>
      <c r="F9" s="2951"/>
      <c r="G9" s="2951"/>
      <c r="H9" s="2951"/>
      <c r="I9" s="2978"/>
      <c r="J9" s="2978"/>
      <c r="K9" s="2948"/>
      <c r="L9" s="2056"/>
      <c r="M9" s="1229"/>
      <c r="N9" s="2058"/>
      <c r="O9" s="2058"/>
      <c r="P9" s="2949"/>
      <c r="Q9" s="2949"/>
      <c r="R9" s="1049"/>
      <c r="S9" s="2034"/>
      <c r="T9" s="992"/>
      <c r="U9" s="992"/>
      <c r="V9" s="1017"/>
      <c r="W9" s="1017"/>
      <c r="X9" s="1017"/>
      <c r="Y9" s="1020" t="str">
        <f>Z8&amp;"-"&amp;AB8</f>
        <v>-</v>
      </c>
      <c r="Z9" s="2958"/>
      <c r="AA9" s="2799"/>
      <c r="AB9" s="2958"/>
      <c r="AC9" s="2799"/>
      <c r="AD9" s="1017"/>
      <c r="AE9" s="1017"/>
      <c r="AF9" s="1017"/>
      <c r="AG9" s="1020" t="str">
        <f>AH8&amp;"-"&amp;AJ8</f>
        <v>-</v>
      </c>
      <c r="AH9" s="2958"/>
      <c r="AI9" s="2799"/>
      <c r="AJ9" s="2958"/>
      <c r="AK9" s="2799"/>
      <c r="AL9" s="1017"/>
      <c r="AM9" s="2946"/>
      <c r="AO9" s="1192"/>
      <c r="AP9" s="1192" t="str">
        <f>IF(T9="","",T9)</f>
        <v/>
      </c>
      <c r="AQ9" s="1192"/>
      <c r="AR9" s="1192"/>
      <c r="AS9" s="1847">
        <v>0</v>
      </c>
    </row>
    <row customHeight="1" ht="15" hidden="1">
      <c r="A10" s="2055"/>
      <c r="B10" s="2055"/>
      <c r="C10" s="2055"/>
      <c r="D10" s="2055"/>
      <c r="E10" s="2951"/>
      <c r="F10" s="2951"/>
      <c r="G10" s="2951"/>
      <c r="H10" s="2951"/>
      <c r="I10" s="2978"/>
      <c r="J10" s="2948"/>
      <c r="K10" s="2055"/>
      <c r="L10" s="2056"/>
      <c r="M10" s="1229"/>
      <c r="N10" s="2058"/>
      <c r="P10" s="2949"/>
      <c r="Q10" s="2949"/>
      <c r="R10" s="1048"/>
      <c r="S10" s="1970"/>
      <c r="T10" s="979" t="s">
        <v>486</v>
      </c>
      <c r="U10" s="1059"/>
      <c r="V10" s="1059"/>
      <c r="W10" s="1059"/>
      <c r="X10" s="1059"/>
      <c r="Y10" s="1059"/>
      <c r="Z10" s="1059"/>
      <c r="AA10" s="1059"/>
      <c r="AB10" s="1059"/>
      <c r="AC10" s="1059"/>
      <c r="AD10" s="1059"/>
      <c r="AE10" s="1059"/>
      <c r="AF10" s="1059"/>
      <c r="AG10" s="1059"/>
      <c r="AH10" s="1059"/>
      <c r="AI10" s="1059"/>
      <c r="AJ10" s="1059"/>
      <c r="AK10" s="1059"/>
      <c r="AL10" s="1016"/>
      <c r="AM10" s="2947"/>
      <c r="AO10" s="1192"/>
      <c r="AP10" s="1192" t="str">
        <f>IF(T10="","",T10)</f>
        <v>Добавить вид теплоносителя (параметры теплоносителя)</v>
      </c>
      <c r="AQ10" s="1192"/>
      <c r="AR10" s="1192"/>
      <c r="AS10" s="1847">
        <v>0</v>
      </c>
    </row>
    <row customHeight="1" ht="11.25" hidden="1">
      <c r="A11" s="2055"/>
      <c r="B11" s="2055"/>
      <c r="C11" s="2055"/>
      <c r="D11" s="2055"/>
      <c r="E11" s="2951"/>
      <c r="F11" s="2951"/>
      <c r="G11" s="2951"/>
      <c r="H11" s="2951"/>
      <c r="I11" s="2948"/>
      <c r="J11" s="2055"/>
      <c r="K11" s="2055"/>
      <c r="L11" s="2056"/>
      <c r="M11" s="1229"/>
      <c r="P11" s="2949"/>
      <c r="Q11" s="2023"/>
      <c r="R11" s="1048"/>
      <c r="S11" s="1970"/>
      <c r="T11" s="1057" t="s">
        <v>487</v>
      </c>
      <c r="U11" s="1059"/>
      <c r="V11" s="1059"/>
      <c r="W11" s="1059"/>
      <c r="X11" s="1059"/>
      <c r="Y11" s="1059"/>
      <c r="Z11" s="1059"/>
      <c r="AA11" s="1059"/>
      <c r="AB11" s="1059"/>
      <c r="AC11" s="1058"/>
      <c r="AD11" s="1059"/>
      <c r="AE11" s="1059"/>
      <c r="AF11" s="1059"/>
      <c r="AG11" s="1059"/>
      <c r="AH11" s="1059"/>
      <c r="AI11" s="1059"/>
      <c r="AJ11" s="1059"/>
      <c r="AK11" s="1058"/>
      <c r="AL11" s="1059"/>
      <c r="AM11" s="995"/>
      <c r="AO11" s="1192"/>
      <c r="AP11" s="1192" t="str">
        <f>IF(T11="","",T11)</f>
        <v>Добавить группу потребителей</v>
      </c>
      <c r="AQ11" s="1192"/>
      <c r="AR11" s="1192"/>
      <c r="AS11" s="1847">
        <v>0</v>
      </c>
    </row>
    <row customHeight="1" ht="14.25" hidden="1">
      <c r="A12" s="2055"/>
      <c r="B12" s="2055"/>
      <c r="C12" s="2055"/>
      <c r="D12" s="2055"/>
      <c r="E12" s="2951"/>
      <c r="F12" s="2951"/>
      <c r="G12" s="2951"/>
      <c r="H12" s="2950"/>
      <c r="I12" s="2055"/>
      <c r="J12" s="2055"/>
      <c r="K12" s="2055"/>
      <c r="L12" s="2056"/>
      <c r="M12" s="2057"/>
      <c r="N12" s="2057"/>
      <c r="O12" s="1229"/>
      <c r="P12" s="1052"/>
      <c r="Q12" s="1067"/>
      <c r="R12" s="1047"/>
      <c r="S12" s="2078"/>
      <c r="T12" s="2079"/>
      <c r="U12" s="2080"/>
      <c r="V12" s="2080"/>
      <c r="W12" s="2080"/>
      <c r="X12" s="2080"/>
      <c r="Y12" s="2080"/>
      <c r="Z12" s="2080"/>
      <c r="AA12" s="2080"/>
      <c r="AB12" s="2080"/>
      <c r="AC12" s="2080"/>
      <c r="AD12" s="2080"/>
      <c r="AE12" s="2080"/>
      <c r="AF12" s="2080"/>
      <c r="AG12" s="2080"/>
      <c r="AH12" s="2080"/>
      <c r="AI12" s="2080"/>
      <c r="AJ12" s="2080"/>
      <c r="AK12" s="2080"/>
      <c r="AL12" s="2080"/>
      <c r="AM12" s="2081"/>
      <c r="AO12" s="1192"/>
      <c r="AP12" s="1192" t="str">
        <f>IF(T12="","",T12)</f>
        <v/>
      </c>
      <c r="AQ12" s="1192"/>
      <c r="AR12" s="1192"/>
      <c r="AS12" s="1847">
        <v>0</v>
      </c>
    </row>
    <row s="61695" customFormat="1" customHeight="1" ht="14.25" hidden="1">
      <c r="A13" s="2006"/>
      <c r="B13" s="2006"/>
      <c r="C13" s="2006"/>
      <c r="D13" s="2006"/>
      <c r="E13" s="2951"/>
      <c r="F13" s="2951"/>
      <c r="G13" s="2950"/>
      <c r="H13" s="2006"/>
      <c r="I13" s="2006"/>
      <c r="J13" s="2006"/>
      <c r="K13" s="2006"/>
      <c r="L13" s="2031"/>
      <c r="M13" s="2007"/>
      <c r="N13" s="2007"/>
      <c r="P13" s="2008"/>
      <c r="Q13" s="2009"/>
      <c r="R13" s="2008"/>
      <c r="S13" s="2010"/>
      <c r="T13" s="2011" t="s">
        <v>171</v>
      </c>
      <c r="U13" s="2012"/>
      <c r="V13" s="2012"/>
      <c r="W13" s="2012"/>
      <c r="X13" s="2012"/>
      <c r="Y13" s="2012"/>
      <c r="Z13" s="2012"/>
      <c r="AA13" s="2012"/>
      <c r="AB13" s="2012"/>
      <c r="AC13" s="2012"/>
      <c r="AD13" s="2012"/>
      <c r="AE13" s="2012"/>
      <c r="AF13" s="2012"/>
      <c r="AG13" s="2012"/>
      <c r="AH13" s="2012"/>
      <c r="AI13" s="2012"/>
      <c r="AJ13" s="2012"/>
      <c r="AK13" s="2012"/>
      <c r="AL13" s="2012"/>
      <c r="AM13" s="2012"/>
      <c r="AO13" s="1481"/>
      <c r="AP13" s="1481" t="str">
        <f>IF(T13="","",T13)</f>
        <v>Добавить источник для дифференциации</v>
      </c>
      <c r="AQ13" s="1481"/>
      <c r="AR13" s="1481"/>
      <c r="AS13" s="1210">
        <v>0</v>
      </c>
    </row>
    <row s="61695" customFormat="1" customHeight="1" ht="14.25" hidden="1">
      <c r="A14" s="2006"/>
      <c r="B14" s="2006"/>
      <c r="C14" s="2006"/>
      <c r="D14" s="2006"/>
      <c r="E14" s="2951"/>
      <c r="F14" s="2950"/>
      <c r="G14" s="2006"/>
      <c r="H14" s="2006"/>
      <c r="I14" s="2006"/>
      <c r="J14" s="2006"/>
      <c r="K14" s="2006"/>
      <c r="L14" s="2031"/>
      <c r="M14" s="2013"/>
      <c r="N14" s="2013"/>
      <c r="P14" s="2008"/>
      <c r="Q14" s="2009"/>
      <c r="R14" s="2008"/>
      <c r="S14" s="2014"/>
      <c r="T14" s="2015" t="s">
        <v>172</v>
      </c>
      <c r="U14" s="2016"/>
      <c r="V14" s="2016"/>
      <c r="W14" s="2016"/>
      <c r="X14" s="2016"/>
      <c r="Y14" s="2016"/>
      <c r="Z14" s="2016"/>
      <c r="AA14" s="2016"/>
      <c r="AB14" s="2016"/>
      <c r="AC14" s="2016"/>
      <c r="AD14" s="2016"/>
      <c r="AE14" s="2016"/>
      <c r="AF14" s="2016"/>
      <c r="AG14" s="2016"/>
      <c r="AH14" s="2016"/>
      <c r="AI14" s="2016"/>
      <c r="AJ14" s="2016"/>
      <c r="AK14" s="2016"/>
      <c r="AL14" s="2016"/>
      <c r="AM14" s="2016"/>
      <c r="AO14" s="1481"/>
      <c r="AP14" s="1481" t="str">
        <f>IF(T14="","",T14)</f>
        <v>Добавить централизованную систему для дифференциации</v>
      </c>
      <c r="AQ14" s="1481"/>
      <c r="AR14" s="1481"/>
      <c r="AS14" s="1210">
        <v>0</v>
      </c>
    </row>
    <row s="61695" customFormat="1" customHeight="1" ht="14.25" hidden="1">
      <c r="A15" s="2006"/>
      <c r="B15" s="2006"/>
      <c r="C15" s="2006"/>
      <c r="D15" s="2006"/>
      <c r="E15" s="2950"/>
      <c r="F15" s="2006"/>
      <c r="G15" s="2006"/>
      <c r="H15" s="2006"/>
      <c r="I15" s="2006"/>
      <c r="J15" s="2006"/>
      <c r="K15" s="2006"/>
      <c r="L15" s="2031"/>
      <c r="M15" s="2013"/>
      <c r="N15" s="2013"/>
      <c r="P15" s="2008"/>
      <c r="Q15" s="2009"/>
      <c r="R15" s="2008"/>
      <c r="S15" s="2014"/>
      <c r="T15" s="2017" t="s">
        <v>173</v>
      </c>
      <c r="U15" s="2016"/>
      <c r="V15" s="2016"/>
      <c r="W15" s="2016"/>
      <c r="X15" s="2016"/>
      <c r="Y15" s="2016"/>
      <c r="Z15" s="2016"/>
      <c r="AA15" s="2016"/>
      <c r="AB15" s="2016"/>
      <c r="AC15" s="2016"/>
      <c r="AD15" s="2016"/>
      <c r="AE15" s="2016"/>
      <c r="AF15" s="2016"/>
      <c r="AG15" s="2016"/>
      <c r="AH15" s="2016"/>
      <c r="AI15" s="2016"/>
      <c r="AJ15" s="2016"/>
      <c r="AK15" s="2016"/>
      <c r="AL15" s="2016"/>
      <c r="AM15" s="2016"/>
      <c r="AO15" s="1481"/>
      <c r="AP15" s="1481" t="str">
        <f>IF(T15="","",T15)</f>
        <v>Добавить территорию для дифференциации</v>
      </c>
      <c r="AQ15" s="1481"/>
      <c r="AR15" s="1481"/>
      <c r="AS15" s="1210">
        <v>0</v>
      </c>
    </row>
    <row customHeight="1" ht="14.25" hidden="1">
      <c r="AC16" s="1019"/>
      <c r="AK16" s="1019"/>
      <c r="AS16" s="1847">
        <v>0</v>
      </c>
    </row>
    <row customHeight="1" ht="14.25" hidden="1">
      <c r="AD17" s="2052"/>
      <c r="AE17" s="2052"/>
      <c r="AF17" s="2052"/>
      <c r="AG17" s="2053"/>
      <c r="AH17" s="2959"/>
      <c r="AI17" s="2960" t="s">
        <v>67</v>
      </c>
      <c r="AJ17" s="2959"/>
      <c r="AK17" s="2960" t="s">
        <v>67</v>
      </c>
      <c r="AS17" s="1847">
        <v>0</v>
      </c>
    </row>
    <row customHeight="1" ht="14.25" hidden="1">
      <c r="AD18" s="2052"/>
      <c r="AE18" s="2052"/>
      <c r="AF18" s="2052"/>
      <c r="AG18" s="1020" t="str">
        <f>AH17&amp;"-"&amp;AJ17</f>
        <v>-</v>
      </c>
      <c r="AH18" s="2960"/>
      <c r="AI18" s="2960"/>
      <c r="AJ18" s="2960"/>
      <c r="AK18" s="2960"/>
      <c r="AS18" s="1847">
        <v>0</v>
      </c>
    </row>
    <row customHeight="1" ht="14.25" hidden="1">
      <c r="AK19" s="1019"/>
      <c r="AS19" s="1847">
        <v>0</v>
      </c>
    </row>
    <row s="62148" customFormat="1" customHeight="1" ht="22.5" hidden="1">
      <c r="L20" s="2021"/>
      <c r="M20" s="2054"/>
      <c r="N20" s="2054"/>
      <c r="O20" s="2059" t="s">
        <v>489</v>
      </c>
      <c r="P20" s="2054"/>
      <c r="Q20" s="2063"/>
      <c r="R20" s="2063"/>
      <c r="S20" s="1421"/>
      <c r="Z20" s="2059"/>
      <c r="AB20" s="2059"/>
      <c r="AC20" s="2058"/>
      <c r="AH20" s="2059"/>
      <c r="AJ20" s="2059"/>
      <c r="AK20" s="2058"/>
      <c r="AN20" s="1203"/>
      <c r="AO20" s="1203"/>
      <c r="AP20" s="1203"/>
      <c r="AQ20" s="1203"/>
      <c r="AR20" s="1203"/>
      <c r="AS20" s="1852">
        <v>0</v>
      </c>
    </row>
    <row s="62148" customFormat="1" customHeight="1" ht="14.25" hidden="1">
      <c r="L21" s="2021"/>
      <c r="M21" s="2054"/>
      <c r="N21" s="2054"/>
      <c r="O21" s="2054"/>
      <c r="P21" s="2054"/>
      <c r="Q21" s="2063"/>
      <c r="R21" s="2063"/>
      <c r="S21" s="1421"/>
      <c r="AC21" s="2058"/>
      <c r="AK21" s="2058"/>
      <c r="AN21" s="1203"/>
      <c r="AO21" s="1203"/>
      <c r="AP21" s="1203"/>
      <c r="AQ21" s="1203"/>
      <c r="AR21" s="1203"/>
      <c r="AS21" s="1852">
        <v>0</v>
      </c>
    </row>
    <row s="62148" customFormat="1" customHeight="1" ht="14.25" hidden="1">
      <c r="L22" s="2021"/>
      <c r="M22" s="2054"/>
      <c r="N22" s="2054"/>
      <c r="O22" s="2056" t="s">
        <v>490</v>
      </c>
      <c r="P22" s="2054"/>
      <c r="Q22" s="2063"/>
      <c r="R22" s="2063"/>
      <c r="S22" s="1421"/>
      <c r="T22" s="1852" t="s">
        <v>491</v>
      </c>
      <c r="AA22" s="878" t="s">
        <v>492</v>
      </c>
      <c r="AC22" s="878" t="s">
        <v>493</v>
      </c>
      <c r="AD22" s="1852" t="s">
        <v>491</v>
      </c>
      <c r="AI22" s="878" t="s">
        <v>494</v>
      </c>
      <c r="AK22" s="878" t="s">
        <v>493</v>
      </c>
      <c r="AN22" s="1203"/>
      <c r="AO22" s="1203"/>
      <c r="AP22" s="1203"/>
      <c r="AQ22" s="1203"/>
      <c r="AR22" s="1203"/>
      <c r="AS22" s="1852">
        <v>0</v>
      </c>
    </row>
    <row customHeight="1" ht="14.25" hidden="1">
      <c r="O23" s="2056"/>
      <c r="AS23" s="1847">
        <v>0</v>
      </c>
    </row>
    <row customHeight="1" ht="14.25" hidden="1">
      <c r="O24" s="2056"/>
      <c r="AS24" s="1847">
        <v>0</v>
      </c>
    </row>
    <row customHeight="1" ht="14.699999999999998">
      <c r="Q25" s="1068"/>
      <c r="R25" s="1068"/>
      <c r="S25" s="1967"/>
      <c r="T25" s="1055"/>
      <c r="U25" s="1055"/>
      <c r="V25" s="1201"/>
      <c r="W25" s="1201"/>
      <c r="X25" s="1201"/>
      <c r="Y25" s="1201"/>
      <c r="Z25" s="1201"/>
      <c r="AA25" s="1201"/>
      <c r="AB25" s="1201"/>
      <c r="AC25" s="1201"/>
      <c r="AD25" s="1201"/>
      <c r="AE25" s="1201"/>
      <c r="AF25" s="1201"/>
      <c r="AG25" s="1201"/>
      <c r="AH25" s="1201"/>
      <c r="AI25" s="1201"/>
      <c r="AJ25" s="1201"/>
      <c r="AK25" s="1201"/>
      <c r="AS25" s="1847">
        <v>14</v>
      </c>
    </row>
    <row customHeight="1" ht="53.54999999999999">
      <c r="Q26" s="1068"/>
      <c r="R26" s="1068"/>
      <c r="S26" s="294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40"/>
      <c r="U26" s="2940"/>
      <c r="V26" s="2940"/>
      <c r="W26" s="2940"/>
      <c r="X26" s="2940"/>
      <c r="Y26" s="2940"/>
      <c r="Z26" s="2940"/>
      <c r="AA26" s="2940"/>
      <c r="AB26" s="2940"/>
      <c r="AC26" s="2940"/>
      <c r="AD26" s="2940"/>
      <c r="AE26" s="2940"/>
      <c r="AF26" s="2940"/>
      <c r="AG26" s="2940"/>
      <c r="AH26" s="2940"/>
      <c r="AI26" s="2940"/>
      <c r="AJ26" s="2940"/>
      <c r="AK26" s="1935"/>
      <c r="AS26" s="1847">
        <v>51</v>
      </c>
    </row>
    <row customHeight="1" ht="14.699999999999998">
      <c r="Q27" s="1068"/>
      <c r="R27" s="1068"/>
      <c r="S27" s="2941" t="str">
        <f>IF(org=0,"Не определено",org)</f>
        <v>АО "ДГК"</v>
      </c>
      <c r="T27" s="2941"/>
      <c r="U27" s="2941"/>
      <c r="V27" s="2941"/>
      <c r="W27" s="2941"/>
      <c r="X27" s="2941"/>
      <c r="Y27" s="2941"/>
      <c r="Z27" s="2941"/>
      <c r="AA27" s="2941"/>
      <c r="AB27" s="2941"/>
      <c r="AC27" s="2941"/>
      <c r="AD27" s="2941"/>
      <c r="AE27" s="2941"/>
      <c r="AF27" s="2941"/>
      <c r="AG27" s="2941"/>
      <c r="AH27" s="2941"/>
      <c r="AI27" s="2941"/>
      <c r="AJ27" s="2941"/>
      <c r="AK27" s="1935"/>
      <c r="AS27" s="1847">
        <v>14</v>
      </c>
    </row>
    <row customHeight="1" ht="14.25" hidden="1">
      <c r="Q28" s="1068"/>
      <c r="R28" s="1068"/>
      <c r="S28" s="1967"/>
      <c r="T28" s="1055"/>
      <c r="U28" s="1055"/>
      <c r="V28" s="1014"/>
      <c r="W28" s="1014"/>
      <c r="X28" s="1014"/>
      <c r="Y28" s="1014"/>
      <c r="Z28" s="1014"/>
      <c r="AA28" s="1014"/>
      <c r="AB28" s="1014"/>
      <c r="AC28" s="1014"/>
      <c r="AD28" s="1014"/>
      <c r="AE28" s="1014"/>
      <c r="AF28" s="1014"/>
      <c r="AG28" s="1014"/>
      <c r="AH28" s="1014"/>
      <c r="AI28" s="1014"/>
      <c r="AJ28" s="1014"/>
      <c r="AK28" s="1014"/>
      <c r="AL28" s="1201"/>
      <c r="AS28" s="1847">
        <v>0</v>
      </c>
    </row>
    <row s="63055" customFormat="1" customHeight="1" ht="25.5" hidden="1">
      <c r="A29" s="2060"/>
      <c r="B29" s="2060"/>
      <c r="C29" s="2060"/>
      <c r="D29" s="2060"/>
      <c r="E29" s="2060"/>
      <c r="F29" s="2060"/>
      <c r="G29" s="2060"/>
      <c r="H29" s="2060"/>
      <c r="I29" s="2060"/>
      <c r="J29" s="2060"/>
      <c r="K29" s="2060"/>
      <c r="L29" s="2061"/>
      <c r="M29" s="2060"/>
      <c r="N29" s="2060"/>
      <c r="O29" s="2060"/>
      <c r="S29" s="2942" t="s">
        <v>42</v>
      </c>
      <c r="T29" s="2942"/>
      <c r="U29" s="2064"/>
      <c r="V29" s="2943" t="str">
        <f>IF(TITLE_NAME_OR_PR_CHANGE="",IF(TITLE_NAME_OR_PR="","",TITLE_NAME_OR_PR),TITLE_NAME_OR_PR_CHANGE)</f>
        <v/>
      </c>
      <c r="W29" s="2943"/>
      <c r="X29" s="2943"/>
      <c r="Y29" s="2943"/>
      <c r="Z29" s="2943"/>
      <c r="AA29" s="2943"/>
      <c r="AB29" s="2943"/>
      <c r="AC29" s="1018"/>
      <c r="AD29" s="2943" t="str">
        <f>IF(TITLE_NAME_OR_PR_CHANGE="",IF(TITLE_NAME_OR_PR="","",TITLE_NAME_OR_PR),TITLE_NAME_OR_PR_CHANGE)</f>
        <v/>
      </c>
      <c r="AE29" s="2943"/>
      <c r="AF29" s="2943"/>
      <c r="AG29" s="2943"/>
      <c r="AH29" s="2943"/>
      <c r="AI29" s="2943"/>
      <c r="AJ29" s="2943"/>
      <c r="AK29" s="1018"/>
      <c r="AL29" s="1018"/>
      <c r="AM29" s="972"/>
      <c r="AN29" s="1060"/>
      <c r="AO29" s="1060"/>
      <c r="AP29" s="1060"/>
      <c r="AQ29" s="1060"/>
      <c r="AR29" s="1060"/>
      <c r="AS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495</v>
      </c>
      <c r="T30" s="2942"/>
      <c r="U30" s="2064"/>
      <c r="V30" s="2956" t="str">
        <f>IF(TITLE_DATE_PR_CHANGE="",IF(TITLE_DATE_PR="","",TITLE_DATE_PR),TITLE_DATE_PR_CHANGE)</f>
        <v>45981</v>
      </c>
      <c r="W30" s="2956"/>
      <c r="X30" s="2956"/>
      <c r="Y30" s="2956"/>
      <c r="Z30" s="2956"/>
      <c r="AA30" s="2956"/>
      <c r="AB30" s="2956"/>
      <c r="AC30" s="1018"/>
      <c r="AD30" s="2956" t="str">
        <f>IF(TITLE_DATE_PR_CHANGE="",IF(TITLE_DATE_PR="","",TITLE_DATE_PR),TITLE_DATE_PR_CHANGE)</f>
        <v>45981</v>
      </c>
      <c r="AE30" s="2956"/>
      <c r="AF30" s="2956"/>
      <c r="AG30" s="2956"/>
      <c r="AH30" s="2956"/>
      <c r="AI30" s="2956"/>
      <c r="AJ30" s="2956"/>
      <c r="AK30" s="1018"/>
      <c r="AL30" s="1018"/>
      <c r="AM30" s="972"/>
      <c r="AN30" s="1060"/>
      <c r="AO30" s="1060"/>
      <c r="AP30" s="1060"/>
      <c r="AQ30" s="1060"/>
      <c r="AR30" s="1060"/>
      <c r="AS30" s="1110">
        <v>0</v>
      </c>
    </row>
    <row s="63055" customFormat="1" customHeight="1" ht="18.75" hidden="1">
      <c r="A31" s="2060"/>
      <c r="B31" s="2060"/>
      <c r="C31" s="2060"/>
      <c r="D31" s="2060"/>
      <c r="E31" s="2060"/>
      <c r="F31" s="2060"/>
      <c r="G31" s="2060"/>
      <c r="H31" s="2060"/>
      <c r="I31" s="2060"/>
      <c r="J31" s="2060"/>
      <c r="K31" s="2060"/>
      <c r="L31" s="2061"/>
      <c r="M31" s="2060"/>
      <c r="N31" s="2060"/>
      <c r="O31" s="2060"/>
      <c r="S31" s="2942" t="s">
        <v>496</v>
      </c>
      <c r="T31" s="2942"/>
      <c r="U31" s="2064"/>
      <c r="V31" s="2943" t="str">
        <f>IF(TITLE_NUMBER_PR_CHANGE="",IF(TITLE_NUMBER_PR="","",TITLE_NUMBER_PR),TITLE_NUMBER_PR_CHANGE)</f>
        <v>Исх-260/1781</v>
      </c>
      <c r="W31" s="2943"/>
      <c r="X31" s="2943"/>
      <c r="Y31" s="2943"/>
      <c r="Z31" s="2943"/>
      <c r="AA31" s="2943"/>
      <c r="AB31" s="2943"/>
      <c r="AC31" s="1018"/>
      <c r="AD31" s="2943" t="str">
        <f>IF(TITLE_NUMBER_PR_CHANGE="",IF(TITLE_NUMBER_PR="","",TITLE_NUMBER_PR),TITLE_NUMBER_PR_CHANGE)</f>
        <v>Исх-260/1781</v>
      </c>
      <c r="AE31" s="2943"/>
      <c r="AF31" s="2943"/>
      <c r="AG31" s="2943"/>
      <c r="AH31" s="2943"/>
      <c r="AI31" s="2943"/>
      <c r="AJ31" s="2943"/>
      <c r="AK31" s="1018"/>
      <c r="AL31" s="1018"/>
      <c r="AM31" s="972"/>
      <c r="AN31" s="1060"/>
      <c r="AO31" s="1060"/>
      <c r="AP31" s="1060"/>
      <c r="AQ31" s="1060"/>
      <c r="AR31" s="1060"/>
      <c r="AS31" s="1110">
        <v>0</v>
      </c>
    </row>
    <row s="63055" customFormat="1" customHeight="1" ht="18.75" hidden="1">
      <c r="A32" s="2060"/>
      <c r="B32" s="2060"/>
      <c r="C32" s="2060"/>
      <c r="D32" s="2060"/>
      <c r="E32" s="2060"/>
      <c r="F32" s="2060"/>
      <c r="G32" s="2060"/>
      <c r="H32" s="2060"/>
      <c r="I32" s="2060"/>
      <c r="J32" s="2060"/>
      <c r="K32" s="2060"/>
      <c r="L32" s="2061"/>
      <c r="M32" s="2060"/>
      <c r="N32" s="2060"/>
      <c r="O32" s="2060"/>
      <c r="S32" s="2942" t="s">
        <v>43</v>
      </c>
      <c r="T32" s="2942"/>
      <c r="U32" s="2064"/>
      <c r="V32" s="2943" t="str">
        <f>IF(TITLE_IST_PUB_CHANGE="",IF(TITLE_IST_PUB="","",TITLE_IST_PUB),TITLE_IST_PUB_CHANGE)</f>
        <v/>
      </c>
      <c r="W32" s="2943"/>
      <c r="X32" s="2943"/>
      <c r="Y32" s="2943"/>
      <c r="Z32" s="2943"/>
      <c r="AA32" s="2943"/>
      <c r="AB32" s="2943"/>
      <c r="AC32" s="1018"/>
      <c r="AD32" s="2943" t="str">
        <f>IF(TITLE_IST_PUB_CHANGE="",IF(TITLE_IST_PUB="","",TITLE_IST_PUB),TITLE_IST_PUB_CHANGE)</f>
        <v/>
      </c>
      <c r="AE32" s="2943"/>
      <c r="AF32" s="2943"/>
      <c r="AG32" s="2943"/>
      <c r="AH32" s="2943"/>
      <c r="AI32" s="2943"/>
      <c r="AJ32" s="2943"/>
      <c r="AK32" s="1018"/>
      <c r="AL32" s="1018"/>
      <c r="AM32" s="972"/>
      <c r="AN32" s="1060"/>
      <c r="AO32" s="1060"/>
      <c r="AP32" s="1060"/>
      <c r="AQ32" s="1060"/>
      <c r="AR32" s="1060"/>
      <c r="AS32" s="1110">
        <v>0</v>
      </c>
    </row>
    <row customHeight="1" ht="14.25">
      <c r="Q33" s="1068"/>
      <c r="R33" s="1068"/>
      <c r="S33" s="1967"/>
      <c r="T33" s="1055"/>
      <c r="U33" s="1055"/>
      <c r="V33" s="1014"/>
      <c r="W33" s="1014"/>
      <c r="X33" s="1014"/>
      <c r="Y33" s="1014"/>
      <c r="Z33" s="1014"/>
      <c r="AA33" s="1014"/>
      <c r="AB33" s="1014"/>
      <c r="AC33" s="1014"/>
      <c r="AD33" s="1014"/>
      <c r="AE33" s="1014"/>
      <c r="AF33" s="1014"/>
      <c r="AG33" s="1014"/>
      <c r="AH33" s="1014"/>
      <c r="AI33" s="1014"/>
      <c r="AJ33" s="1014"/>
      <c r="AK33" s="1014"/>
      <c r="AL33" s="1201"/>
      <c r="AS33" s="1847">
        <v>0</v>
      </c>
    </row>
    <row s="63055" customFormat="1" customHeight="1" ht="18.75">
      <c r="A34" s="2060"/>
      <c r="B34" s="2060"/>
      <c r="C34" s="2060"/>
      <c r="D34" s="2060"/>
      <c r="E34" s="2060"/>
      <c r="F34" s="2060"/>
      <c r="G34" s="2060"/>
      <c r="H34" s="2060"/>
      <c r="I34" s="2060"/>
      <c r="J34" s="2060"/>
      <c r="K34" s="2060"/>
      <c r="L34" s="2061"/>
      <c r="M34" s="2060"/>
      <c r="N34" s="2060"/>
      <c r="O34" s="2060"/>
      <c r="S34" s="2942" t="s">
        <v>497</v>
      </c>
      <c r="T34" s="2942"/>
      <c r="U34" s="2064"/>
      <c r="V34" s="2956" t="str">
        <f>IF(TITLE_DATE_PR_CHANGE="",IF(TITLE_DATE_PR="","",TITLE_DATE_PR),TITLE_DATE_PR_CHANGE)</f>
        <v>45981</v>
      </c>
      <c r="W34" s="2956"/>
      <c r="X34" s="2956"/>
      <c r="Y34" s="2956"/>
      <c r="Z34" s="2956"/>
      <c r="AA34" s="2956"/>
      <c r="AB34" s="2956"/>
      <c r="AC34" s="1018"/>
      <c r="AD34" s="2956" t="str">
        <f>IF(TITLE_DATE_PR_CHANGE="",IF(TITLE_DATE_PR="","",TITLE_DATE_PR),TITLE_DATE_PR_CHANGE)</f>
        <v>45981</v>
      </c>
      <c r="AE34" s="2956"/>
      <c r="AF34" s="2956"/>
      <c r="AG34" s="2956"/>
      <c r="AH34" s="2956"/>
      <c r="AI34" s="2956"/>
      <c r="AJ34" s="2956"/>
      <c r="AK34" s="1018"/>
      <c r="AL34" s="1018"/>
      <c r="AM34" s="972"/>
      <c r="AN34" s="1060"/>
      <c r="AO34" s="1060"/>
      <c r="AP34" s="1060"/>
      <c r="AQ34" s="1060"/>
      <c r="AR34" s="1060"/>
      <c r="AS34" s="1110">
        <v>0</v>
      </c>
    </row>
    <row s="63055" customFormat="1" customHeight="1" ht="25.5">
      <c r="A35" s="2060"/>
      <c r="B35" s="2060"/>
      <c r="C35" s="2060"/>
      <c r="D35" s="2060"/>
      <c r="E35" s="2060"/>
      <c r="F35" s="2060"/>
      <c r="G35" s="2060"/>
      <c r="H35" s="2060"/>
      <c r="I35" s="2060"/>
      <c r="J35" s="2060"/>
      <c r="K35" s="2060"/>
      <c r="L35" s="2061"/>
      <c r="M35" s="2060"/>
      <c r="N35" s="2060"/>
      <c r="O35" s="2060"/>
      <c r="S35" s="2942" t="s">
        <v>498</v>
      </c>
      <c r="T35" s="2942"/>
      <c r="U35" s="2064"/>
      <c r="V35" s="2943" t="str">
        <f>IF(TITLE_NUMBER_PR_CHANGE="",IF(TITLE_NUMBER_PR="","",TITLE_NUMBER_PR),TITLE_NUMBER_PR_CHANGE)</f>
        <v>Исх-260/1781</v>
      </c>
      <c r="W35" s="2943"/>
      <c r="X35" s="2943"/>
      <c r="Y35" s="2943"/>
      <c r="Z35" s="2943"/>
      <c r="AA35" s="2943"/>
      <c r="AB35" s="2943"/>
      <c r="AC35" s="1018"/>
      <c r="AD35" s="2943" t="str">
        <f>IF(TITLE_NUMBER_PR_CHANGE="",IF(TITLE_NUMBER_PR="","",TITLE_NUMBER_PR),TITLE_NUMBER_PR_CHANGE)</f>
        <v>Исх-260/1781</v>
      </c>
      <c r="AE35" s="2943"/>
      <c r="AF35" s="2943"/>
      <c r="AG35" s="2943"/>
      <c r="AH35" s="2943"/>
      <c r="AI35" s="2943"/>
      <c r="AJ35" s="2943"/>
      <c r="AK35" s="1018"/>
      <c r="AL35" s="1018"/>
      <c r="AM35" s="972"/>
      <c r="AN35" s="1060"/>
      <c r="AO35" s="1060"/>
      <c r="AP35" s="1060"/>
      <c r="AQ35" s="1060"/>
      <c r="AR35" s="1060"/>
      <c r="AS35" s="1110">
        <v>0</v>
      </c>
    </row>
    <row s="63055" customFormat="1" customHeight="1" ht="0">
      <c r="A36" s="2060"/>
      <c r="B36" s="2060"/>
      <c r="C36" s="2060"/>
      <c r="D36" s="2060"/>
      <c r="E36" s="2060"/>
      <c r="F36" s="2060"/>
      <c r="G36" s="2060"/>
      <c r="H36" s="2060"/>
      <c r="I36" s="2060"/>
      <c r="J36" s="2060"/>
      <c r="K36" s="2060"/>
      <c r="L36" s="2061"/>
      <c r="M36" s="2060"/>
      <c r="N36" s="2060"/>
      <c r="O36" s="2060"/>
      <c r="S36" s="1015"/>
      <c r="T36" s="1015"/>
      <c r="U36" s="2032"/>
      <c r="V36" s="1018"/>
      <c r="W36" s="1018"/>
      <c r="X36" s="1018"/>
      <c r="Y36" s="1018"/>
      <c r="Z36" s="1018"/>
      <c r="AA36" s="1018"/>
      <c r="AB36" s="1018"/>
      <c r="AC36" s="970" t="s">
        <v>499</v>
      </c>
      <c r="AD36" s="1018"/>
      <c r="AE36" s="1018"/>
      <c r="AF36" s="1018"/>
      <c r="AG36" s="1018"/>
      <c r="AH36" s="1018"/>
      <c r="AI36" s="1018"/>
      <c r="AJ36" s="1018"/>
      <c r="AK36" s="970" t="s">
        <v>499</v>
      </c>
      <c r="AN36" s="1060"/>
      <c r="AO36" s="1060"/>
      <c r="AP36" s="1060"/>
      <c r="AQ36" s="1060"/>
      <c r="AR36" s="1060"/>
      <c r="AS36" s="1110">
        <v>0</v>
      </c>
    </row>
    <row customHeight="1" ht="14.699999999999998">
      <c r="Q37" s="1068"/>
      <c r="R37" s="1068"/>
      <c r="S37" s="1967"/>
      <c r="T37" s="1055"/>
      <c r="U37" s="1936"/>
      <c r="V37" s="2944"/>
      <c r="W37" s="2944"/>
      <c r="X37" s="2944"/>
      <c r="Y37" s="2944"/>
      <c r="Z37" s="2944"/>
      <c r="AA37" s="2944"/>
      <c r="AB37" s="2944"/>
      <c r="AC37" s="2944"/>
      <c r="AD37" s="2944"/>
      <c r="AE37" s="2944"/>
      <c r="AF37" s="2944"/>
      <c r="AG37" s="2944"/>
      <c r="AH37" s="2944"/>
      <c r="AI37" s="2944"/>
      <c r="AJ37" s="2944"/>
      <c r="AK37" s="2944"/>
      <c r="AS37" s="1847">
        <v>14</v>
      </c>
    </row>
    <row customHeight="1" ht="14.699999999999998">
      <c r="Q38" s="1068"/>
      <c r="R38" s="1068"/>
      <c r="S38" s="2819" t="s">
        <v>375</v>
      </c>
      <c r="T38" s="2819"/>
      <c r="U38" s="2819"/>
      <c r="V38" s="2819"/>
      <c r="W38" s="2819"/>
      <c r="X38" s="2819"/>
      <c r="Y38" s="2819"/>
      <c r="Z38" s="2819"/>
      <c r="AA38" s="2819"/>
      <c r="AB38" s="2819"/>
      <c r="AC38" s="2819"/>
      <c r="AD38" s="2819"/>
      <c r="AE38" s="2819"/>
      <c r="AF38" s="2819"/>
      <c r="AG38" s="2819"/>
      <c r="AH38" s="2819"/>
      <c r="AI38" s="2819"/>
      <c r="AJ38" s="2819"/>
      <c r="AK38" s="2819"/>
      <c r="AL38" s="2819"/>
      <c r="AM38" s="2819" t="s">
        <v>376</v>
      </c>
      <c r="AS38" s="1847">
        <v>14</v>
      </c>
    </row>
    <row customHeight="1" ht="14.699999999999998">
      <c r="Q39" s="1068"/>
      <c r="R39" s="1068"/>
      <c r="S39" s="2965" t="s">
        <v>89</v>
      </c>
      <c r="T39" s="2901" t="s">
        <v>500</v>
      </c>
      <c r="U39" s="993"/>
      <c r="V39" s="2966" t="s">
        <v>501</v>
      </c>
      <c r="W39" s="2967"/>
      <c r="X39" s="2967"/>
      <c r="Y39" s="2967"/>
      <c r="Z39" s="2967"/>
      <c r="AA39" s="2967"/>
      <c r="AB39" s="2968"/>
      <c r="AC39" s="2969" t="s">
        <v>502</v>
      </c>
      <c r="AD39" s="2966" t="s">
        <v>501</v>
      </c>
      <c r="AE39" s="2967"/>
      <c r="AF39" s="2967"/>
      <c r="AG39" s="2967"/>
      <c r="AH39" s="2967"/>
      <c r="AI39" s="2967"/>
      <c r="AJ39" s="2968"/>
      <c r="AK39" s="2969" t="s">
        <v>503</v>
      </c>
      <c r="AL39" s="2972" t="s">
        <v>504</v>
      </c>
      <c r="AM39" s="2819"/>
      <c r="AS39" s="1847">
        <v>14</v>
      </c>
    </row>
    <row customHeight="1" ht="35.699999999999996">
      <c r="Q40" s="1068"/>
      <c r="R40" s="1068"/>
      <c r="S40" s="2965"/>
      <c r="T40" s="2901"/>
      <c r="U40" s="1723"/>
      <c r="V40" s="2952" t="s">
        <v>505</v>
      </c>
      <c r="W40" s="2975"/>
      <c r="X40" s="2954" t="s">
        <v>507</v>
      </c>
      <c r="Y40" s="2955"/>
      <c r="Z40" s="2954" t="s">
        <v>508</v>
      </c>
      <c r="AA40" s="2961"/>
      <c r="AB40" s="2955"/>
      <c r="AC40" s="2970"/>
      <c r="AD40" s="2952" t="s">
        <v>524</v>
      </c>
      <c r="AE40" s="2975"/>
      <c r="AF40" s="2954" t="s">
        <v>507</v>
      </c>
      <c r="AG40" s="2955"/>
      <c r="AH40" s="2954" t="s">
        <v>508</v>
      </c>
      <c r="AI40" s="2961"/>
      <c r="AJ40" s="2955"/>
      <c r="AK40" s="2970"/>
      <c r="AL40" s="2973"/>
      <c r="AM40" s="2819"/>
      <c r="AS40" s="1847">
        <v>34</v>
      </c>
    </row>
    <row customHeight="1" ht="35.699999999999996">
      <c r="A41" s="2062"/>
      <c r="B41" s="2062" t="s">
        <v>143</v>
      </c>
      <c r="C41" s="2062" t="s">
        <v>144</v>
      </c>
      <c r="D41" s="2062" t="s">
        <v>145</v>
      </c>
      <c r="E41" s="2056" t="s">
        <v>509</v>
      </c>
      <c r="F41" s="2056" t="s">
        <v>510</v>
      </c>
      <c r="G41" s="2056" t="s">
        <v>511</v>
      </c>
      <c r="H41" s="2056" t="s">
        <v>512</v>
      </c>
      <c r="I41" s="2056" t="s">
        <v>513</v>
      </c>
      <c r="J41" s="2056" t="s">
        <v>514</v>
      </c>
      <c r="K41" s="2056" t="s">
        <v>515</v>
      </c>
      <c r="L41" s="2056" t="s">
        <v>490</v>
      </c>
      <c r="Q41" s="1068"/>
      <c r="R41" s="1068"/>
      <c r="S41" s="2965"/>
      <c r="T41" s="2901"/>
      <c r="U41" s="994"/>
      <c r="V41" s="2953"/>
      <c r="W41" s="2976"/>
      <c r="X41" s="1914" t="s">
        <v>516</v>
      </c>
      <c r="Y41" s="1914" t="s">
        <v>517</v>
      </c>
      <c r="Z41" s="2030" t="s">
        <v>518</v>
      </c>
      <c r="AA41" s="2962" t="s">
        <v>519</v>
      </c>
      <c r="AB41" s="2963"/>
      <c r="AC41" s="2971"/>
      <c r="AD41" s="2953"/>
      <c r="AE41" s="2976"/>
      <c r="AF41" s="1914" t="s">
        <v>516</v>
      </c>
      <c r="AG41" s="1914" t="s">
        <v>517</v>
      </c>
      <c r="AH41" s="2030" t="s">
        <v>518</v>
      </c>
      <c r="AI41" s="2962" t="s">
        <v>519</v>
      </c>
      <c r="AJ41" s="2963"/>
      <c r="AK41" s="2971"/>
      <c r="AL41" s="2974"/>
      <c r="AM41" s="2819"/>
      <c r="AS41" s="1847">
        <v>34</v>
      </c>
    </row>
    <row s="61193" customFormat="1" customHeight="1" ht="11.25" hidden="1">
      <c r="A42" s="2062"/>
      <c r="B42" s="2062"/>
      <c r="C42" s="2062"/>
      <c r="D42" s="2062"/>
      <c r="E42" s="2062"/>
      <c r="F42" s="2062"/>
      <c r="G42" s="2062"/>
      <c r="H42" s="2062"/>
      <c r="I42" s="2062"/>
      <c r="J42" s="2062"/>
      <c r="K42" s="2062"/>
      <c r="L42" s="2056"/>
      <c r="M42" s="2054"/>
      <c r="N42" s="2054"/>
      <c r="O42" s="2054"/>
      <c r="P42" s="1938"/>
      <c r="Q42" s="1939"/>
      <c r="R42" s="1946">
        <v>1</v>
      </c>
      <c r="S42" s="1969" t="s">
        <v>118</v>
      </c>
      <c r="T42" s="1947" t="s">
        <v>103</v>
      </c>
      <c r="U42" s="1937" t="str">
        <f>OFFSET(U42,0,-1)</f>
        <v>2</v>
      </c>
      <c r="V42" s="2027">
        <f>OFFSET(V42,0,-1)+1</f>
        <v>3</v>
      </c>
      <c r="W42" s="2027"/>
      <c r="X42" s="2027">
        <f>OFFSET(X42,0,-1)+1</f>
        <v>1</v>
      </c>
      <c r="Y42" s="2027">
        <f>OFFSET(Y42,0,-1)+1</f>
        <v>2</v>
      </c>
      <c r="Z42" s="2027">
        <f>OFFSET(Z42,0,-1)+1</f>
        <v>3</v>
      </c>
      <c r="AA42" s="2964">
        <f>OFFSET(AA42,0,-1)+1</f>
        <v>4</v>
      </c>
      <c r="AB42" s="2964"/>
      <c r="AC42" s="2027">
        <f>OFFSET(AC42,0,-2)+1</f>
        <v>5</v>
      </c>
      <c r="AD42" s="2027">
        <f>OFFSET(AD42,0,-1)+1</f>
        <v>6</v>
      </c>
      <c r="AE42" s="2027"/>
      <c r="AF42" s="2027">
        <f>OFFSET(AF42,0,-1)+1</f>
        <v>1</v>
      </c>
      <c r="AG42" s="2027">
        <f>OFFSET(AG42,0,-1)+1</f>
        <v>2</v>
      </c>
      <c r="AH42" s="2027">
        <f>OFFSET(AH42,0,-1)+1</f>
        <v>3</v>
      </c>
      <c r="AI42" s="2964">
        <f>OFFSET(AI42,0,-1)+1</f>
        <v>4</v>
      </c>
      <c r="AJ42" s="2964"/>
      <c r="AK42" s="2027">
        <f>OFFSET(AK42,0,-2)+1</f>
        <v>5</v>
      </c>
      <c r="AL42" s="1937">
        <f>OFFSET(AL42,0,-1)</f>
        <v>5</v>
      </c>
      <c r="AM42" s="2027">
        <f>OFFSET(AM42,0,-1)+1</f>
        <v>6</v>
      </c>
      <c r="AN42" s="1203"/>
      <c r="AO42" s="1203"/>
      <c r="AP42" s="1203"/>
      <c r="AQ42" s="1203"/>
      <c r="AR42" s="1203"/>
      <c r="AS42" s="1188">
        <v>0</v>
      </c>
    </row>
    <row customHeight="1" ht="22.049999999999997">
      <c r="A43" s="2055" t="s">
        <v>263</v>
      </c>
      <c r="B43" s="2055"/>
      <c r="C43" s="2055"/>
      <c r="D43" s="2055"/>
      <c r="E43" s="2950">
        <v>1</v>
      </c>
      <c r="F43" s="2055"/>
      <c r="G43" s="2055"/>
      <c r="H43" s="2055"/>
      <c r="I43" s="2055"/>
      <c r="J43" s="2055"/>
      <c r="K43" s="2055"/>
      <c r="L43" s="2056"/>
      <c r="M43" s="2057"/>
      <c r="N43" s="2057"/>
      <c r="O43" s="2057"/>
      <c r="P43" s="1053"/>
      <c r="Q43" s="1052"/>
      <c r="R43" s="1047"/>
      <c r="S43" s="2028">
        <f>INDEX(PT_DIFFERENTIATION_NUM_NTAR,MATCH(A43,PT_DIFFERENTIATION_NTAR_ID,0))</f>
        <v>0</v>
      </c>
      <c r="T43" s="990" t="s">
        <v>131</v>
      </c>
      <c r="U43" s="992"/>
      <c r="V43" s="2934"/>
      <c r="W43" s="2935"/>
      <c r="X43" s="2935"/>
      <c r="Y43" s="2935"/>
      <c r="Z43" s="2935"/>
      <c r="AA43" s="2935"/>
      <c r="AB43" s="2935"/>
      <c r="AC43" s="2936"/>
      <c r="AD43" s="2934" t="str">
        <f>INDEX(PT_DIFFERENTIATION_NTAR,MATCH(A43,PT_DIFFERENTIATION_NTAR_ID,0))</f>
        <v/>
      </c>
      <c r="AE43" s="2935"/>
      <c r="AF43" s="2935"/>
      <c r="AG43" s="2935"/>
      <c r="AH43" s="2935"/>
      <c r="AI43" s="2935"/>
      <c r="AJ43" s="2935"/>
      <c r="AK43" s="2935"/>
      <c r="AL43" s="2936"/>
      <c r="AM43" s="195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92"/>
      <c r="AP43" s="1192" t="str">
        <f>IF(T43="","",T43)</f>
        <v>Наименование тарифа</v>
      </c>
      <c r="AQ43" s="1192"/>
      <c r="AR43" s="1192"/>
      <c r="AS43" s="1847">
        <v>21</v>
      </c>
    </row>
    <row customHeight="1" ht="22.049999999999997">
      <c r="A44" s="2055" t="s">
        <v>263</v>
      </c>
      <c r="B44" s="2055" t="s">
        <v>264</v>
      </c>
      <c r="C44" s="2055"/>
      <c r="D44" s="2055"/>
      <c r="E44" s="2951"/>
      <c r="F44" s="2950">
        <v>1</v>
      </c>
      <c r="G44" s="2055"/>
      <c r="H44" s="2055"/>
      <c r="I44" s="2055"/>
      <c r="J44" s="2055"/>
      <c r="K44" s="2055"/>
      <c r="L44" s="2056"/>
      <c r="M44" s="2057"/>
      <c r="N44" s="2057"/>
      <c r="O44" s="2057"/>
      <c r="P44" s="2024"/>
      <c r="Q44" s="1044"/>
      <c r="R44" s="1045"/>
      <c r="S44" s="2028" t="str">
        <f>INDEX(PT_DIFFERENTIATION_NUM_TER,MATCH(B44,PT_DIFFERENTIATION_TER_ID,0))</f>
        <v>.</v>
      </c>
      <c r="T44" s="1000" t="s">
        <v>472</v>
      </c>
      <c r="U44" s="992"/>
      <c r="V44" s="2934"/>
      <c r="W44" s="2935"/>
      <c r="X44" s="2935"/>
      <c r="Y44" s="2935"/>
      <c r="Z44" s="2935"/>
      <c r="AA44" s="2935"/>
      <c r="AB44" s="2935"/>
      <c r="AC44" s="2936"/>
      <c r="AD44" s="2934" t="str">
        <f>INDEX(PT_DIFFERENTIATION_TER,MATCH(B44,PT_DIFFERENTIATION_TER_ID,0))</f>
        <v/>
      </c>
      <c r="AE44" s="2935"/>
      <c r="AF44" s="2935"/>
      <c r="AG44" s="2935"/>
      <c r="AH44" s="2935"/>
      <c r="AI44" s="2935"/>
      <c r="AJ44" s="2935"/>
      <c r="AK44" s="2935"/>
      <c r="AL44" s="2936"/>
      <c r="AM44" s="1950" t="s">
        <v>473</v>
      </c>
      <c r="AO44" s="1192"/>
      <c r="AP44" s="1192" t="str">
        <f>IF(T44="","",T44)</f>
        <v>Территория действия тарифа</v>
      </c>
      <c r="AQ44" s="1192"/>
      <c r="AR44" s="1192"/>
      <c r="AS44" s="1847">
        <v>21</v>
      </c>
    </row>
    <row customHeight="1" ht="24">
      <c r="A45" s="2055" t="s">
        <v>263</v>
      </c>
      <c r="B45" s="2055" t="s">
        <v>264</v>
      </c>
      <c r="C45" s="2055" t="s">
        <v>265</v>
      </c>
      <c r="D45" s="2055"/>
      <c r="E45" s="2951"/>
      <c r="F45" s="2951"/>
      <c r="G45" s="2950">
        <v>1</v>
      </c>
      <c r="H45" s="2055"/>
      <c r="I45" s="2055"/>
      <c r="J45" s="2055"/>
      <c r="K45" s="2055"/>
      <c r="L45" s="2056"/>
      <c r="M45" s="2057"/>
      <c r="N45" s="2057"/>
      <c r="O45" s="2057"/>
      <c r="P45" s="1046"/>
      <c r="Q45" s="1044"/>
      <c r="R45" s="1045"/>
      <c r="S45" s="2028" t="str">
        <f>INDEX(PT_DIFFERENTIATION_NUM_CS,MATCH(C45,PT_DIFFERENTIATION_CS_ID,0))</f>
        <v>..</v>
      </c>
      <c r="T45" s="1001" t="s">
        <v>474</v>
      </c>
      <c r="U45" s="992"/>
      <c r="V45" s="2934"/>
      <c r="W45" s="2935"/>
      <c r="X45" s="2935"/>
      <c r="Y45" s="2935"/>
      <c r="Z45" s="2935"/>
      <c r="AA45" s="2935"/>
      <c r="AB45" s="2935"/>
      <c r="AC45" s="2936"/>
      <c r="AD45" s="2934" t="str">
        <f>INDEX(PT_DIFFERENTIATION_CS,MATCH(C45,PT_DIFFERENTIATION_CS_ID,0))</f>
        <v/>
      </c>
      <c r="AE45" s="2935"/>
      <c r="AF45" s="2935"/>
      <c r="AG45" s="2935"/>
      <c r="AH45" s="2935"/>
      <c r="AI45" s="2935"/>
      <c r="AJ45" s="2935"/>
      <c r="AK45" s="2935"/>
      <c r="AL45" s="2936"/>
      <c r="AM45" s="1950" t="s">
        <v>475</v>
      </c>
      <c r="AO45" s="1192"/>
      <c r="AP45" s="1192" t="str">
        <f>IF(T45="","",T45)</f>
        <v>Наименование системы теплоснабжения </v>
      </c>
      <c r="AQ45" s="1192"/>
      <c r="AR45" s="1192"/>
      <c r="AS45" s="1847">
        <v>23</v>
      </c>
    </row>
    <row customHeight="1" ht="22.049999999999997">
      <c r="A46" s="2055" t="s">
        <v>263</v>
      </c>
      <c r="B46" s="2055" t="s">
        <v>264</v>
      </c>
      <c r="C46" s="2055" t="s">
        <v>265</v>
      </c>
      <c r="D46" s="2055" t="s">
        <v>266</v>
      </c>
      <c r="E46" s="2951"/>
      <c r="F46" s="2951"/>
      <c r="G46" s="2951"/>
      <c r="H46" s="2950">
        <v>1</v>
      </c>
      <c r="I46" s="2055"/>
      <c r="J46" s="2055"/>
      <c r="K46" s="2055"/>
      <c r="L46" s="2056"/>
      <c r="M46" s="2057"/>
      <c r="N46" s="2057"/>
      <c r="O46" s="2057"/>
      <c r="P46" s="1046"/>
      <c r="Q46" s="1044"/>
      <c r="R46" s="1045"/>
      <c r="S46" s="2028" t="str">
        <f>INDEX(PT_DIFFERENTIATION_NUM_IST_TE,MATCH(D46,PT_DIFFERENTIATION_IST_TE_ID,0))</f>
        <v>...</v>
      </c>
      <c r="T46" s="1002" t="s">
        <v>476</v>
      </c>
      <c r="U46" s="992"/>
      <c r="V46" s="2934"/>
      <c r="W46" s="2935"/>
      <c r="X46" s="2935"/>
      <c r="Y46" s="2935"/>
      <c r="Z46" s="2935"/>
      <c r="AA46" s="2935"/>
      <c r="AB46" s="2935"/>
      <c r="AC46" s="2936"/>
      <c r="AD46" s="2934" t="str">
        <f>INDEX(PT_DIFFERENTIATION_IST_TE,MATCH(D46,PT_DIFFERENTIATION_IST_TE_ID,0))</f>
        <v/>
      </c>
      <c r="AE46" s="2935"/>
      <c r="AF46" s="2935"/>
      <c r="AG46" s="2935"/>
      <c r="AH46" s="2935"/>
      <c r="AI46" s="2935"/>
      <c r="AJ46" s="2935"/>
      <c r="AK46" s="2935"/>
      <c r="AL46" s="2936"/>
      <c r="AM46" s="1950" t="s">
        <v>477</v>
      </c>
      <c r="AO46" s="1192"/>
      <c r="AP46" s="1192" t="str">
        <f>IF(T46="","",T46)</f>
        <v>Источник тепловой энергии  </v>
      </c>
      <c r="AQ46" s="1192"/>
      <c r="AR46" s="1192"/>
      <c r="AS46" s="1847">
        <v>21</v>
      </c>
    </row>
    <row s="61695" customFormat="1" customHeight="1" ht="0">
      <c r="A47" s="2035" t="s">
        <v>263</v>
      </c>
      <c r="B47" s="2035" t="s">
        <v>264</v>
      </c>
      <c r="C47" s="2035" t="s">
        <v>265</v>
      </c>
      <c r="D47" s="2035" t="s">
        <v>266</v>
      </c>
      <c r="E47" s="2951"/>
      <c r="F47" s="2951"/>
      <c r="G47" s="2951"/>
      <c r="H47" s="2951"/>
      <c r="I47" s="2948" t="str">
        <f>S46&amp;".1"</f>
        <v>....1</v>
      </c>
      <c r="J47" s="2035"/>
      <c r="K47" s="2035"/>
      <c r="L47" s="2038" t="s">
        <v>478</v>
      </c>
      <c r="M47" s="1202"/>
      <c r="N47" s="1202"/>
      <c r="O47" s="1202"/>
      <c r="P47" s="2949">
        <v>1</v>
      </c>
      <c r="Q47" s="2023"/>
      <c r="R47" s="1048"/>
      <c r="S47" s="1734"/>
      <c r="T47" s="2075"/>
      <c r="U47" s="2076"/>
      <c r="V47" s="2988"/>
      <c r="W47" s="2989"/>
      <c r="X47" s="2989"/>
      <c r="Y47" s="2989"/>
      <c r="Z47" s="2989"/>
      <c r="AA47" s="2989"/>
      <c r="AB47" s="2989"/>
      <c r="AC47" s="2990"/>
      <c r="AD47" s="2988"/>
      <c r="AE47" s="2989"/>
      <c r="AF47" s="2989"/>
      <c r="AG47" s="2989"/>
      <c r="AH47" s="2989"/>
      <c r="AI47" s="2989"/>
      <c r="AJ47" s="2989"/>
      <c r="AK47" s="2989"/>
      <c r="AL47" s="2990"/>
      <c r="AM47" s="2077"/>
      <c r="AO47" s="1192"/>
      <c r="AP47" s="1192" t="str">
        <f>IF(T47="","",T47)</f>
        <v/>
      </c>
      <c r="AQ47" s="1192"/>
      <c r="AR47" s="1192"/>
      <c r="AS47" s="1203">
        <v>0</v>
      </c>
    </row>
    <row customHeight="1" ht="22.049999999999997">
      <c r="A48" s="2055" t="s">
        <v>263</v>
      </c>
      <c r="B48" s="2055" t="s">
        <v>264</v>
      </c>
      <c r="C48" s="2055" t="s">
        <v>265</v>
      </c>
      <c r="D48" s="2055" t="s">
        <v>266</v>
      </c>
      <c r="E48" s="2951"/>
      <c r="F48" s="2951"/>
      <c r="G48" s="2951"/>
      <c r="H48" s="2951"/>
      <c r="I48" s="2978"/>
      <c r="J48" s="2948" t="str">
        <f>S46&amp;".1"</f>
        <v>....1</v>
      </c>
      <c r="K48" s="2055"/>
      <c r="L48" s="2056" t="s">
        <v>481</v>
      </c>
      <c r="P48" s="2949"/>
      <c r="Q48" s="2949">
        <v>1</v>
      </c>
      <c r="R48" s="1049"/>
      <c r="S48" s="2028" t="str">
        <f>$J48</f>
        <v>....1</v>
      </c>
      <c r="T48" s="978" t="s">
        <v>482</v>
      </c>
      <c r="U48" s="992"/>
      <c r="V48" s="2937"/>
      <c r="W48" s="2938"/>
      <c r="X48" s="2938"/>
      <c r="Y48" s="2938"/>
      <c r="Z48" s="2938"/>
      <c r="AA48" s="2938"/>
      <c r="AB48" s="2938"/>
      <c r="AC48" s="2939"/>
      <c r="AD48" s="2937"/>
      <c r="AE48" s="2938"/>
      <c r="AF48" s="2938"/>
      <c r="AG48" s="2938"/>
      <c r="AH48" s="2938"/>
      <c r="AI48" s="2938"/>
      <c r="AJ48" s="2938"/>
      <c r="AK48" s="2938"/>
      <c r="AL48" s="2939"/>
      <c r="AM48" s="1950" t="s">
        <v>483</v>
      </c>
      <c r="AO48" s="1192"/>
      <c r="AP48" s="1192" t="str">
        <f>IF(T48="","",T48)</f>
        <v>Группа потребителей</v>
      </c>
      <c r="AQ48" s="1192"/>
      <c r="AR48" s="1192"/>
      <c r="AS48" s="1847">
        <v>21</v>
      </c>
    </row>
    <row customHeight="1" ht="22.049999999999997">
      <c r="A49" s="2055" t="s">
        <v>263</v>
      </c>
      <c r="B49" s="2055" t="s">
        <v>264</v>
      </c>
      <c r="C49" s="2055" t="s">
        <v>265</v>
      </c>
      <c r="D49" s="2055" t="s">
        <v>266</v>
      </c>
      <c r="E49" s="2951"/>
      <c r="F49" s="2951"/>
      <c r="G49" s="2951"/>
      <c r="H49" s="2951"/>
      <c r="I49" s="2978"/>
      <c r="J49" s="2978"/>
      <c r="K49" s="2948" t="str">
        <f>J48&amp;".1"</f>
        <v>....1.1</v>
      </c>
      <c r="L49" s="2056" t="s">
        <v>484</v>
      </c>
      <c r="P49" s="2949"/>
      <c r="Q49" s="2949"/>
      <c r="R49" s="1049">
        <v>1</v>
      </c>
      <c r="S49" s="2028" t="str">
        <f>$K49</f>
        <v>....1.1</v>
      </c>
      <c r="T49" s="2039"/>
      <c r="U49" s="992"/>
      <c r="V49" s="1443"/>
      <c r="W49" s="1017"/>
      <c r="X49" s="1443"/>
      <c r="Y49" s="1949"/>
      <c r="Z49" s="2957"/>
      <c r="AA49" s="2799" t="s">
        <v>67</v>
      </c>
      <c r="AB49" s="2957"/>
      <c r="AC49" s="2799" t="s">
        <v>67</v>
      </c>
      <c r="AD49" s="1443"/>
      <c r="AE49" s="1017"/>
      <c r="AF49" s="1443"/>
      <c r="AG49" s="1949"/>
      <c r="AH49" s="2957"/>
      <c r="AI49" s="2799" t="s">
        <v>67</v>
      </c>
      <c r="AJ49" s="2979"/>
      <c r="AK49" s="2799" t="s">
        <v>67</v>
      </c>
      <c r="AL49" s="2040"/>
      <c r="AM49" s="2945" t="s">
        <v>525</v>
      </c>
      <c r="AN49" s="1203">
        <f>STRCHECKDATE(V50:AL50)</f>
      </c>
      <c r="AO49" s="1192"/>
      <c r="AP49" s="1192" t="str">
        <f>IF(T49="","",T49)</f>
        <v/>
      </c>
      <c r="AQ49" s="1192"/>
      <c r="AR49" s="1192"/>
      <c r="AS49" s="1847">
        <v>21</v>
      </c>
    </row>
    <row customHeight="1" ht="0">
      <c r="A50" s="2055" t="s">
        <v>263</v>
      </c>
      <c r="B50" s="2055" t="s">
        <v>264</v>
      </c>
      <c r="C50" s="2055" t="s">
        <v>265</v>
      </c>
      <c r="D50" s="2055" t="s">
        <v>266</v>
      </c>
      <c r="E50" s="2951"/>
      <c r="F50" s="2951"/>
      <c r="G50" s="2951"/>
      <c r="H50" s="2951"/>
      <c r="I50" s="2978"/>
      <c r="J50" s="2978"/>
      <c r="K50" s="2948"/>
      <c r="L50" s="2056"/>
      <c r="P50" s="2949"/>
      <c r="Q50" s="2949"/>
      <c r="R50" s="1049"/>
      <c r="S50" s="2034"/>
      <c r="T50" s="992"/>
      <c r="U50" s="992"/>
      <c r="V50" s="1017"/>
      <c r="W50" s="1017"/>
      <c r="X50" s="1017"/>
      <c r="Y50" s="1020" t="str">
        <f>Z49&amp;"-"&amp;AB49</f>
        <v>-</v>
      </c>
      <c r="Z50" s="2958"/>
      <c r="AA50" s="2799"/>
      <c r="AB50" s="2958"/>
      <c r="AC50" s="2799"/>
      <c r="AD50" s="1017"/>
      <c r="AE50" s="1017"/>
      <c r="AF50" s="1017"/>
      <c r="AG50" s="1020" t="str">
        <f>AH49&amp;"-"&amp;AJ49</f>
        <v>-</v>
      </c>
      <c r="AH50" s="2958"/>
      <c r="AI50" s="2799"/>
      <c r="AJ50" s="2980"/>
      <c r="AK50" s="2799"/>
      <c r="AL50" s="2041"/>
      <c r="AM50" s="2946"/>
      <c r="AO50" s="1192"/>
      <c r="AP50" s="1192" t="str">
        <f>IF(T50="","",T50)</f>
        <v/>
      </c>
      <c r="AQ50" s="1192"/>
      <c r="AR50" s="1192"/>
      <c r="AS50" s="1847">
        <v>0</v>
      </c>
    </row>
    <row customHeight="1" ht="11.549999999999999">
      <c r="A51" s="2055" t="s">
        <v>263</v>
      </c>
      <c r="B51" s="2055" t="s">
        <v>264</v>
      </c>
      <c r="C51" s="2055" t="s">
        <v>265</v>
      </c>
      <c r="D51" s="2055" t="s">
        <v>266</v>
      </c>
      <c r="E51" s="2951"/>
      <c r="F51" s="2951"/>
      <c r="G51" s="2951"/>
      <c r="H51" s="2951"/>
      <c r="I51" s="2978"/>
      <c r="J51" s="2948"/>
      <c r="K51" s="2055"/>
      <c r="L51" s="2056"/>
      <c r="P51" s="2949"/>
      <c r="Q51" s="2949"/>
      <c r="R51" s="1048"/>
      <c r="S51" s="1970"/>
      <c r="T51" s="979" t="s">
        <v>486</v>
      </c>
      <c r="U51" s="1059"/>
      <c r="V51" s="1059"/>
      <c r="W51" s="1059"/>
      <c r="X51" s="1059"/>
      <c r="Y51" s="1059"/>
      <c r="Z51" s="1059"/>
      <c r="AA51" s="1059"/>
      <c r="AB51" s="1059"/>
      <c r="AC51" s="1059"/>
      <c r="AD51" s="1059"/>
      <c r="AE51" s="1059"/>
      <c r="AF51" s="1059"/>
      <c r="AG51" s="1059"/>
      <c r="AH51" s="1059"/>
      <c r="AI51" s="1059"/>
      <c r="AJ51" s="1059"/>
      <c r="AK51" s="1059"/>
      <c r="AL51" s="1016"/>
      <c r="AM51" s="2947"/>
      <c r="AO51" s="1192"/>
      <c r="AP51" s="1192" t="str">
        <f>IF(T51="","",T51)</f>
        <v>Добавить вид теплоносителя (параметры теплоносителя)</v>
      </c>
      <c r="AQ51" s="1192"/>
      <c r="AR51" s="1192"/>
      <c r="AS51" s="1847">
        <v>11</v>
      </c>
    </row>
    <row customHeight="1" ht="11.549999999999999">
      <c r="A52" s="2055" t="s">
        <v>263</v>
      </c>
      <c r="B52" s="2055" t="s">
        <v>264</v>
      </c>
      <c r="C52" s="2055" t="s">
        <v>265</v>
      </c>
      <c r="D52" s="2055" t="s">
        <v>266</v>
      </c>
      <c r="E52" s="2951"/>
      <c r="F52" s="2951"/>
      <c r="G52" s="2951"/>
      <c r="H52" s="2951"/>
      <c r="I52" s="2948"/>
      <c r="J52" s="2055"/>
      <c r="K52" s="2055"/>
      <c r="L52" s="2056"/>
      <c r="P52" s="2949"/>
      <c r="Q52" s="2023"/>
      <c r="R52" s="1048"/>
      <c r="S52" s="1970"/>
      <c r="T52" s="1057" t="s">
        <v>487</v>
      </c>
      <c r="U52" s="1059"/>
      <c r="V52" s="1059"/>
      <c r="W52" s="1059"/>
      <c r="X52" s="1059"/>
      <c r="Y52" s="1059"/>
      <c r="Z52" s="1059"/>
      <c r="AA52" s="1059"/>
      <c r="AB52" s="1059"/>
      <c r="AC52" s="1058"/>
      <c r="AD52" s="1059"/>
      <c r="AE52" s="1059"/>
      <c r="AF52" s="1059"/>
      <c r="AG52" s="1059"/>
      <c r="AH52" s="1059"/>
      <c r="AI52" s="1059"/>
      <c r="AJ52" s="1059"/>
      <c r="AK52" s="1058"/>
      <c r="AL52" s="1059"/>
      <c r="AM52" s="995"/>
      <c r="AO52" s="1192"/>
      <c r="AP52" s="1192" t="str">
        <f>IF(T52="","",T52)</f>
        <v>Добавить группу потребителей</v>
      </c>
      <c r="AQ52" s="1192"/>
      <c r="AR52" s="1192"/>
      <c r="AS52" s="1847">
        <v>11</v>
      </c>
    </row>
    <row customHeight="1" ht="0">
      <c r="A53" s="2055" t="s">
        <v>263</v>
      </c>
      <c r="B53" s="2055" t="s">
        <v>264</v>
      </c>
      <c r="C53" s="2055" t="s">
        <v>265</v>
      </c>
      <c r="D53" s="2055" t="s">
        <v>266</v>
      </c>
      <c r="E53" s="2951"/>
      <c r="F53" s="2951"/>
      <c r="G53" s="2951"/>
      <c r="H53" s="2950"/>
      <c r="I53" s="2055"/>
      <c r="J53" s="2055"/>
      <c r="K53" s="2055"/>
      <c r="L53" s="2056"/>
      <c r="M53" s="2057"/>
      <c r="N53" s="2057"/>
      <c r="O53" s="1229"/>
      <c r="P53" s="1052"/>
      <c r="Q53" s="1067"/>
      <c r="R53" s="1047"/>
      <c r="S53" s="2078"/>
      <c r="T53" s="2079"/>
      <c r="U53" s="2080"/>
      <c r="V53" s="2080"/>
      <c r="W53" s="2080"/>
      <c r="X53" s="2080"/>
      <c r="Y53" s="2080"/>
      <c r="Z53" s="2080"/>
      <c r="AA53" s="2080"/>
      <c r="AB53" s="2080"/>
      <c r="AC53" s="2080"/>
      <c r="AD53" s="2080"/>
      <c r="AE53" s="2080"/>
      <c r="AF53" s="2080"/>
      <c r="AG53" s="2080"/>
      <c r="AH53" s="2080"/>
      <c r="AI53" s="2080"/>
      <c r="AJ53" s="2080"/>
      <c r="AK53" s="2080"/>
      <c r="AL53" s="2080"/>
      <c r="AM53" s="2081"/>
      <c r="AO53" s="1192"/>
      <c r="AP53" s="1192" t="str">
        <f>IF(T53="","",T53)</f>
        <v/>
      </c>
      <c r="AQ53" s="1192"/>
      <c r="AR53" s="1192"/>
      <c r="AS53" s="1847">
        <v>0</v>
      </c>
    </row>
    <row s="61695" customFormat="1" customHeight="1" ht="0">
      <c r="A54" s="2035" t="s">
        <v>263</v>
      </c>
      <c r="B54" s="2035" t="s">
        <v>264</v>
      </c>
      <c r="C54" s="2035" t="s">
        <v>265</v>
      </c>
      <c r="D54" s="2006"/>
      <c r="E54" s="2951"/>
      <c r="F54" s="2951"/>
      <c r="G54" s="2950"/>
      <c r="H54" s="2006"/>
      <c r="I54" s="2006"/>
      <c r="J54" s="2006"/>
      <c r="K54" s="2006"/>
      <c r="L54" s="2031"/>
      <c r="M54" s="2007"/>
      <c r="N54" s="2007"/>
      <c r="P54" s="2008"/>
      <c r="Q54" s="2009"/>
      <c r="R54" s="2008"/>
      <c r="S54" s="2014"/>
      <c r="T54" s="2017" t="s">
        <v>171</v>
      </c>
      <c r="U54" s="2016"/>
      <c r="V54" s="2016"/>
      <c r="W54" s="2016"/>
      <c r="X54" s="2016"/>
      <c r="Y54" s="2016"/>
      <c r="Z54" s="2016"/>
      <c r="AA54" s="2016"/>
      <c r="AB54" s="2016"/>
      <c r="AC54" s="2016"/>
      <c r="AD54" s="2016"/>
      <c r="AE54" s="2016"/>
      <c r="AF54" s="2016"/>
      <c r="AG54" s="2016"/>
      <c r="AH54" s="2016"/>
      <c r="AI54" s="2016"/>
      <c r="AJ54" s="2016"/>
      <c r="AK54" s="2016"/>
      <c r="AL54" s="2016"/>
      <c r="AM54" s="2016"/>
      <c r="AO54" s="1481"/>
      <c r="AP54" s="1481" t="str">
        <f>IF(T54="","",T54)</f>
        <v>Добавить источник для дифференциации</v>
      </c>
      <c r="AQ54" s="1481"/>
      <c r="AR54" s="1481"/>
      <c r="AS54" s="1210">
        <v>0</v>
      </c>
    </row>
    <row s="61695" customFormat="1" customHeight="1" ht="0">
      <c r="A55" s="2035" t="s">
        <v>263</v>
      </c>
      <c r="B55" s="2035" t="s">
        <v>264</v>
      </c>
      <c r="C55" s="2006"/>
      <c r="D55" s="2006"/>
      <c r="E55" s="2951"/>
      <c r="F55" s="2950"/>
      <c r="G55" s="2006"/>
      <c r="H55" s="2006"/>
      <c r="I55" s="2006"/>
      <c r="J55" s="2006"/>
      <c r="K55" s="2006"/>
      <c r="L55" s="2031"/>
      <c r="M55" s="2013"/>
      <c r="N55" s="2013"/>
      <c r="P55" s="2008"/>
      <c r="Q55" s="2009"/>
      <c r="R55" s="2008"/>
      <c r="S55" s="2014"/>
      <c r="T55" s="2017" t="s">
        <v>172</v>
      </c>
      <c r="U55" s="2016"/>
      <c r="V55" s="2016"/>
      <c r="W55" s="2016"/>
      <c r="X55" s="2016"/>
      <c r="Y55" s="2016"/>
      <c r="Z55" s="2016"/>
      <c r="AA55" s="2016"/>
      <c r="AB55" s="2016"/>
      <c r="AC55" s="2016"/>
      <c r="AD55" s="2016"/>
      <c r="AE55" s="2016"/>
      <c r="AF55" s="2016"/>
      <c r="AG55" s="2016"/>
      <c r="AH55" s="2016"/>
      <c r="AI55" s="2016"/>
      <c r="AJ55" s="2016"/>
      <c r="AK55" s="2016"/>
      <c r="AL55" s="2016"/>
      <c r="AM55" s="2016"/>
      <c r="AO55" s="1481"/>
      <c r="AP55" s="1481" t="str">
        <f>IF(T55="","",T55)</f>
        <v>Добавить централизованную систему для дифференциации</v>
      </c>
      <c r="AQ55" s="1481"/>
      <c r="AR55" s="1481"/>
      <c r="AS55" s="1210">
        <v>0</v>
      </c>
    </row>
    <row s="61695" customFormat="1" customHeight="1" ht="0">
      <c r="A56" s="2035" t="s">
        <v>263</v>
      </c>
      <c r="B56" s="2035"/>
      <c r="C56" s="2035"/>
      <c r="D56" s="2035"/>
      <c r="E56" s="2950"/>
      <c r="F56" s="2035"/>
      <c r="G56" s="2035"/>
      <c r="H56" s="2035"/>
      <c r="I56" s="2035"/>
      <c r="J56" s="2035"/>
      <c r="K56" s="2035"/>
      <c r="L56" s="2038"/>
      <c r="M56" s="2013"/>
      <c r="N56" s="2013"/>
      <c r="O56" s="1210"/>
      <c r="P56" s="1072"/>
      <c r="Q56" s="2036"/>
      <c r="R56" s="1072"/>
      <c r="S56" s="2014"/>
      <c r="T56" s="2017" t="s">
        <v>173</v>
      </c>
      <c r="U56" s="2016"/>
      <c r="V56" s="2016"/>
      <c r="W56" s="2016"/>
      <c r="X56" s="2016"/>
      <c r="Y56" s="2016"/>
      <c r="Z56" s="2016"/>
      <c r="AA56" s="2016"/>
      <c r="AB56" s="2016"/>
      <c r="AC56" s="2016"/>
      <c r="AD56" s="2016"/>
      <c r="AE56" s="2016"/>
      <c r="AF56" s="2016"/>
      <c r="AG56" s="2016"/>
      <c r="AH56" s="2016"/>
      <c r="AI56" s="2016"/>
      <c r="AJ56" s="2016"/>
      <c r="AK56" s="2016"/>
      <c r="AL56" s="2016"/>
      <c r="AM56" s="2016"/>
      <c r="AO56" s="1192"/>
      <c r="AP56" s="1192" t="str">
        <f>IF(T56="","",T56)</f>
        <v>Добавить территорию для дифференциации</v>
      </c>
      <c r="AQ56" s="1192"/>
      <c r="AR56" s="1192"/>
      <c r="AS56" s="1203">
        <v>0</v>
      </c>
    </row>
    <row s="61695" customFormat="1" customHeight="1" ht="4.2">
      <c r="A57" s="2006"/>
      <c r="B57" s="2006"/>
      <c r="C57" s="2006"/>
      <c r="D57" s="2006"/>
      <c r="E57" s="2035"/>
      <c r="F57" s="2006"/>
      <c r="G57" s="2006"/>
      <c r="H57" s="2006"/>
      <c r="I57" s="2006"/>
      <c r="J57" s="2006"/>
      <c r="K57" s="2006"/>
      <c r="L57" s="2031"/>
      <c r="M57" s="2013"/>
      <c r="N57" s="2013"/>
      <c r="P57" s="2008"/>
      <c r="Q57" s="2009"/>
      <c r="R57" s="2008"/>
      <c r="S57" s="2014"/>
      <c r="T57" s="2017" t="s">
        <v>186</v>
      </c>
      <c r="U57" s="2016"/>
      <c r="V57" s="2016"/>
      <c r="W57" s="2016"/>
      <c r="X57" s="2016"/>
      <c r="Y57" s="2016"/>
      <c r="Z57" s="2016"/>
      <c r="AA57" s="2016"/>
      <c r="AB57" s="2016"/>
      <c r="AC57" s="2016"/>
      <c r="AD57" s="2016"/>
      <c r="AE57" s="2016"/>
      <c r="AF57" s="2016"/>
      <c r="AG57" s="2016"/>
      <c r="AH57" s="2016"/>
      <c r="AI57" s="2016"/>
      <c r="AJ57" s="2016"/>
      <c r="AK57" s="2016"/>
      <c r="AL57" s="2016"/>
      <c r="AM57" s="2016"/>
      <c r="AO57" s="1481"/>
      <c r="AP57" s="1481" t="str">
        <f>IF(T57="","",T57)</f>
        <v>Добавить наименование тарифа</v>
      </c>
      <c r="AQ57" s="1481"/>
      <c r="AR57" s="1481"/>
      <c r="AS57" s="1210">
        <v>4</v>
      </c>
    </row>
    <row customHeight="1" ht="11.549999999999999">
      <c r="M58" s="1852"/>
      <c r="N58" s="1852"/>
      <c r="O58" s="1229"/>
      <c r="P58" s="1847"/>
      <c r="Q58" s="1847"/>
      <c r="R58" s="1847"/>
      <c r="S58" s="1847"/>
      <c r="AN58" s="1847"/>
      <c r="AO58" s="1847"/>
      <c r="AP58" s="1847"/>
      <c r="AQ58" s="1847"/>
      <c r="AR58" s="1847"/>
      <c r="AS58" s="1847">
        <v>11</v>
      </c>
    </row>
    <row customHeight="1" ht="14.699999999999998">
      <c r="O59" s="1229"/>
      <c r="S59" s="1945"/>
      <c r="T59" s="2977"/>
      <c r="U59" s="2977"/>
      <c r="V59" s="2977"/>
      <c r="W59" s="2977"/>
      <c r="X59" s="2977"/>
      <c r="Y59" s="2977"/>
      <c r="Z59" s="2977"/>
      <c r="AA59" s="2977"/>
      <c r="AB59" s="2977"/>
      <c r="AC59" s="2977"/>
      <c r="AD59" s="2977"/>
      <c r="AE59" s="2977"/>
      <c r="AF59" s="2977"/>
      <c r="AG59" s="2977"/>
      <c r="AH59" s="2977"/>
      <c r="AI59" s="2977"/>
      <c r="AJ59" s="2977"/>
      <c r="AK59" s="2977"/>
      <c r="AL59" s="2977"/>
      <c r="AM59" s="2977"/>
      <c r="AS59" s="1847">
        <v>14</v>
      </c>
    </row>
    <row customHeight="1" ht="14.699999999999998">
      <c r="O60" s="1229"/>
      <c r="T60" s="2977"/>
      <c r="U60" s="2977"/>
      <c r="V60" s="2977"/>
      <c r="W60" s="2977"/>
      <c r="X60" s="2977"/>
      <c r="Y60" s="2977"/>
      <c r="Z60" s="2977"/>
      <c r="AA60" s="2977"/>
      <c r="AB60" s="2977"/>
      <c r="AC60" s="2977"/>
      <c r="AD60" s="2977"/>
      <c r="AE60" s="2977"/>
      <c r="AF60" s="2977"/>
      <c r="AG60" s="2977"/>
      <c r="AH60" s="2977"/>
      <c r="AI60" s="2977"/>
      <c r="AJ60" s="2977"/>
      <c r="AK60" s="2977"/>
      <c r="AL60" s="2977"/>
      <c r="AM60" s="2977"/>
      <c r="AS60" s="1847">
        <v>14</v>
      </c>
    </row>
    <row customHeight="1" ht="14.699999999999998">
      <c r="O61" s="1229"/>
      <c r="T61" s="2977"/>
      <c r="U61" s="2977"/>
      <c r="V61" s="2977"/>
      <c r="W61" s="2977"/>
      <c r="X61" s="2977"/>
      <c r="Y61" s="2977"/>
      <c r="Z61" s="2977"/>
      <c r="AA61" s="2977"/>
      <c r="AB61" s="2977"/>
      <c r="AC61" s="2977"/>
      <c r="AD61" s="2977"/>
      <c r="AE61" s="2977"/>
      <c r="AF61" s="2977"/>
      <c r="AG61" s="2977"/>
      <c r="AH61" s="2977"/>
      <c r="AI61" s="2977"/>
      <c r="AJ61" s="2977"/>
      <c r="AK61" s="2977"/>
      <c r="AL61" s="2977"/>
      <c r="AM61" s="2977"/>
      <c r="AS61" s="1847">
        <v>14</v>
      </c>
    </row>
    <row customHeight="1" ht="14.699999999999998">
      <c r="O62" s="1229"/>
      <c r="AS62" s="1847">
        <v>14</v>
      </c>
    </row>
    <row customHeight="1" ht="14.699999999999998">
      <c r="O63" s="1229"/>
      <c r="S63" s="1945"/>
      <c r="T63" s="2991"/>
      <c r="U63" s="2977"/>
      <c r="V63" s="2977"/>
      <c r="W63" s="2977"/>
      <c r="X63" s="2977"/>
      <c r="Y63" s="2977"/>
      <c r="Z63" s="2977"/>
      <c r="AA63" s="2977"/>
      <c r="AB63" s="2977"/>
      <c r="AC63" s="2977"/>
      <c r="AD63" s="2977"/>
      <c r="AE63" s="2977"/>
      <c r="AF63" s="2977"/>
      <c r="AG63" s="2977"/>
      <c r="AH63" s="2977"/>
      <c r="AI63" s="2977"/>
      <c r="AJ63" s="2977"/>
      <c r="AK63" s="2977"/>
      <c r="AL63" s="2977"/>
      <c r="AM63" s="2977"/>
      <c r="AS63" s="1847">
        <v>14</v>
      </c>
    </row>
    <row customHeight="1" ht="14.699999999999998">
      <c r="O64" s="1229"/>
      <c r="T64" s="2977"/>
      <c r="U64" s="2977"/>
      <c r="V64" s="2977"/>
      <c r="W64" s="2977"/>
      <c r="X64" s="2977"/>
      <c r="Y64" s="2977"/>
      <c r="Z64" s="2977"/>
      <c r="AA64" s="2977"/>
      <c r="AB64" s="2977"/>
      <c r="AC64" s="2977"/>
      <c r="AD64" s="2977"/>
      <c r="AE64" s="2977"/>
      <c r="AF64" s="2977"/>
      <c r="AG64" s="2977"/>
      <c r="AH64" s="2977"/>
      <c r="AI64" s="2977"/>
      <c r="AJ64" s="2977"/>
      <c r="AK64" s="2977"/>
      <c r="AL64" s="2977"/>
      <c r="AM64" s="2977"/>
      <c r="AS64" s="1847">
        <v>14</v>
      </c>
    </row>
    <row customHeight="1" ht="14.699999999999998">
      <c r="T65" s="2977"/>
      <c r="U65" s="2977"/>
      <c r="V65" s="2977"/>
      <c r="W65" s="2977"/>
      <c r="X65" s="2977"/>
      <c r="Y65" s="2977"/>
      <c r="Z65" s="2977"/>
      <c r="AA65" s="2977"/>
      <c r="AB65" s="2977"/>
      <c r="AC65" s="2977"/>
      <c r="AD65" s="2977"/>
      <c r="AE65" s="2977"/>
      <c r="AF65" s="2977"/>
      <c r="AG65" s="2977"/>
      <c r="AH65" s="2977"/>
      <c r="AI65" s="2977"/>
      <c r="AJ65" s="2977"/>
      <c r="AK65" s="2977"/>
      <c r="AL65" s="2977"/>
      <c r="AM65" s="2977"/>
      <c r="AS65" s="1847">
        <v>14</v>
      </c>
    </row>
    <row customHeight="1" ht="22.5" hidden="1">
      <c r="A66" s="1852" t="s">
        <v>83</v>
      </c>
      <c r="B66" s="1852">
        <v>0</v>
      </c>
      <c r="C66" s="1852">
        <v>0</v>
      </c>
      <c r="D66" s="1852">
        <v>0</v>
      </c>
      <c r="E66" s="1852">
        <v>0</v>
      </c>
      <c r="F66" s="1852">
        <v>0</v>
      </c>
      <c r="G66" s="1852">
        <v>0</v>
      </c>
      <c r="H66" s="1852">
        <v>0</v>
      </c>
      <c r="I66" s="1852">
        <v>0</v>
      </c>
      <c r="J66" s="1852">
        <v>0</v>
      </c>
      <c r="K66" s="1852">
        <v>0</v>
      </c>
      <c r="L66" s="2021">
        <v>0</v>
      </c>
      <c r="M66" s="2054">
        <v>0</v>
      </c>
      <c r="N66" s="2054">
        <v>0</v>
      </c>
      <c r="O66" s="2054">
        <v>0</v>
      </c>
      <c r="P66" s="2020">
        <v>0</v>
      </c>
      <c r="Q66" s="1036">
        <v>3</v>
      </c>
      <c r="R66" s="1036">
        <v>3</v>
      </c>
      <c r="S66" s="1273">
        <v>12</v>
      </c>
      <c r="T66" s="1847">
        <v>31</v>
      </c>
      <c r="U66" s="1847">
        <v>0</v>
      </c>
      <c r="V66" s="1847">
        <v>0</v>
      </c>
      <c r="W66" s="1847">
        <v>0</v>
      </c>
      <c r="X66" s="1847">
        <v>0</v>
      </c>
      <c r="Y66" s="1847">
        <v>0</v>
      </c>
      <c r="Z66" s="1847">
        <v>0</v>
      </c>
      <c r="AA66" s="1847">
        <v>0</v>
      </c>
      <c r="AB66" s="1847">
        <v>0</v>
      </c>
      <c r="AC66" s="1847">
        <v>0</v>
      </c>
      <c r="AD66" s="1847">
        <v>24</v>
      </c>
      <c r="AE66" s="1847">
        <v>0</v>
      </c>
      <c r="AF66" s="1847">
        <v>24</v>
      </c>
      <c r="AG66" s="1847">
        <v>24</v>
      </c>
      <c r="AH66" s="1847">
        <v>11</v>
      </c>
      <c r="AI66" s="1847">
        <v>3</v>
      </c>
      <c r="AJ66" s="1847">
        <v>11</v>
      </c>
      <c r="AK66" s="1847">
        <v>0</v>
      </c>
      <c r="AL66" s="1847">
        <v>4</v>
      </c>
      <c r="AM66" s="1847">
        <v>115</v>
      </c>
      <c r="AN66" s="1203">
        <v>10</v>
      </c>
      <c r="AO66" s="1203">
        <v>10</v>
      </c>
      <c r="AP66" s="1203">
        <v>10</v>
      </c>
      <c r="AQ66" s="1203">
        <v>10</v>
      </c>
      <c r="AR66" s="1203">
        <v>10</v>
      </c>
      <c r="AS66" s="1847">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99874D-5ABC-8811-3494-CC5AD3CD9AFA}" mc:Ignorable="x14ac xr xr2 xr3">
  <sheetPr>
    <tabColor theme="6" tint="0.4"/>
  </sheetPr>
  <dimension ref="A1:CG104"/>
  <sheetViews>
    <sheetView showGridLines="0" zoomScale="90" workbookViewId="0">
      <pane xSplit="32" ySplit="48" topLeftCell="BG49" activePane="bottomRight" state="frozen"/>
      <selection pane="bottomLeft" activeCell="A49" sqref="A49"/>
      <selection pane="topRight" activeCell="AG1" sqref="AG1"/>
      <selection pane="bottomRight" activeCell="AR87" sqref="AR87"/>
    </sheetView>
  </sheetViews>
  <sheetFormatPr defaultColWidth="10.57421875" customHeight="1" defaultRowHeight="14.25"/>
  <cols>
    <col min="1" max="1" style="62286" width="10.57421875" hidden="1"/>
    <col min="2" max="2" style="62286" width="11.00390625" hidden="1" customWidth="1"/>
    <col min="3" max="3" style="62286" width="10.57421875" hidden="1"/>
    <col min="4" max="4" style="62286" width="11.8515625" hidden="1" customWidth="1"/>
    <col min="5" max="5" style="62286" width="10.00390625" hidden="1" customWidth="1"/>
    <col min="6" max="6" style="62286" width="8.7109375" hidden="1" customWidth="1"/>
    <col min="7" max="7" style="62286" width="7.57421875" hidden="1" customWidth="1"/>
    <col min="8" max="8" style="62286" width="11.421875" hidden="1" customWidth="1"/>
    <col min="9" max="9" style="62286" width="12.00390625" hidden="1" customWidth="1"/>
    <col min="10" max="10" style="62286" width="9.8515625" hidden="1" customWidth="1"/>
    <col min="11" max="12" style="62286" width="11.421875" hidden="1" customWidth="1"/>
    <col min="13" max="13" style="63163" width="19.140625" hidden="1" customWidth="1"/>
    <col min="14" max="15" style="63184" width="12.28125" hidden="1" customWidth="1"/>
    <col min="16" max="16" style="63184" width="23.421875" hidden="1" customWidth="1"/>
    <col min="17" max="17" style="63184" width="3.7109375" hidden="1" customWidth="1"/>
    <col min="18" max="20" style="62288" width="3.00390625" customWidth="1"/>
    <col min="21" max="21" style="63156" width="12.00390625" customWidth="1"/>
    <col min="22" max="22" style="62286" width="31.00390625" customWidth="1"/>
    <col min="23" max="23" style="62286" width="0.140625" customWidth="1"/>
    <col min="24" max="28" style="62286" width="21.7109375" hidden="1" customWidth="1"/>
    <col min="29" max="29" style="62286" width="11.7109375" hidden="1" customWidth="1"/>
    <col min="30" max="30" style="62286" width="3.7109375" hidden="1" customWidth="1"/>
    <col min="31" max="31" style="62286" width="11.7109375" hidden="1" customWidth="1"/>
    <col min="32" max="32" style="62286" width="8.57421875" hidden="1" customWidth="1"/>
    <col min="33" max="37" style="62286" width="21.00390625" customWidth="1"/>
    <col min="38" max="38" style="62286" width="11.00390625" customWidth="1"/>
    <col min="39" max="39" style="62286" width="3.7109375" customWidth="1"/>
    <col min="40" max="40" style="62286" width="11.00390625" customWidth="1"/>
    <col min="41" max="41" style="62286" width="8.00390625" customWidth="1"/>
    <col min="42" max="42" style="63225" width="20.57421875" customWidth="1"/>
    <col min="45" max="46" style="63225" width="0" customWidth="1"/>
    <col min="48" max="48" style="63225" width="4.28125" customWidth="1"/>
    <col min="50" max="50" style="63225" width="5.57421875" customWidth="1"/>
    <col min="51" max="51" style="63225" width="15.140625" customWidth="1"/>
    <col min="54" max="55" style="63225" width="0" customWidth="1"/>
    <col min="57" max="57" style="63225" width="5.57421875" customWidth="1"/>
    <col min="59" max="59" style="63225" width="6.28125" customWidth="1"/>
    <col min="60" max="60" style="63225" width="13.8515625" customWidth="1"/>
    <col min="63" max="64" style="63225" width="0" customWidth="1"/>
    <col min="66" max="66" style="63225" width="5.57421875" customWidth="1"/>
    <col min="68" max="68" style="63225" width="4.421875" customWidth="1"/>
    <col min="69" max="69" style="63225" width="15.28125" customWidth="1"/>
    <col min="72" max="73" style="63225" width="0" customWidth="1"/>
    <col min="75" max="75" style="63225" width="4.00390625" customWidth="1"/>
    <col min="77" max="77" style="63225" width="10.57421875" hidden="1"/>
    <col min="78" max="78" style="62286" width="4.00390625" customWidth="1"/>
    <col min="79" max="79" style="62286" width="115.00390625" customWidth="1"/>
    <col min="80" max="84" style="61695" width="10.00390625" customWidth="1"/>
    <col min="85" max="85" style="62286" width="10.57421875" hidden="1"/>
  </cols>
  <sheetData>
    <row customHeight="1" ht="22.5" hidden="1">
      <c r="AB1" s="1019"/>
      <c r="AC1" s="1019"/>
      <c r="AK1" s="1019"/>
      <c r="AL1" s="1019"/>
      <c r="AP1" s="7330"/>
      <c r="AQ1" s="7330"/>
      <c r="AR1" s="7330"/>
      <c r="AS1" s="7330"/>
      <c r="AT1" s="7330"/>
      <c r="AU1" s="7330"/>
      <c r="AV1" s="7330"/>
      <c r="AW1" s="7330"/>
      <c r="AX1" s="7330"/>
      <c r="AY1" s="7330"/>
      <c r="AZ1" s="7330"/>
      <c r="BA1" s="7330"/>
      <c r="BB1" s="7330"/>
      <c r="BC1" s="7330"/>
      <c r="BD1" s="7330"/>
      <c r="BE1" s="7330"/>
      <c r="BF1" s="7330"/>
      <c r="BG1" s="7330"/>
      <c r="BH1" s="7330"/>
      <c r="BI1" s="7330"/>
      <c r="BJ1" s="7330"/>
      <c r="BK1" s="7330"/>
      <c r="BL1" s="7330"/>
      <c r="BM1" s="7330"/>
      <c r="BN1" s="7330"/>
      <c r="BO1" s="7330"/>
      <c r="BP1" s="7330"/>
      <c r="BQ1" s="7330"/>
      <c r="BR1" s="7330"/>
      <c r="BS1" s="7330"/>
      <c r="BT1" s="7330"/>
      <c r="BU1" s="7330"/>
      <c r="BV1" s="7330"/>
      <c r="BW1" s="7330"/>
      <c r="BX1" s="7330"/>
      <c r="BY1" s="7330"/>
      <c r="CG1" s="1847" t="s">
        <v>14</v>
      </c>
    </row>
    <row customHeight="1" ht="21" hidden="1">
      <c r="A2" s="1959"/>
      <c r="B2" s="1959"/>
      <c r="C2" s="1959"/>
      <c r="D2" s="1959"/>
      <c r="E2" s="2981">
        <v>1</v>
      </c>
      <c r="F2" s="1959"/>
      <c r="G2" s="1959"/>
      <c r="H2" s="1959"/>
      <c r="I2" s="1959"/>
      <c r="J2" s="1959"/>
      <c r="K2" s="1959"/>
      <c r="L2" s="1959"/>
      <c r="M2" s="2002"/>
      <c r="N2" s="1380"/>
      <c r="O2" s="1380"/>
      <c r="P2" s="1380"/>
      <c r="Q2" s="1053"/>
      <c r="R2" s="1052"/>
      <c r="S2" s="1052"/>
      <c r="T2" s="1047"/>
      <c r="U2" s="2028">
        <f>INDEX(PT_DIFFERENTIATION_NUM_NTAR,MATCH(A2,PT_DIFFERENTIATION_NTAR_ID,0))</f>
      </c>
      <c r="V2" s="990" t="s">
        <v>131</v>
      </c>
      <c r="W2" s="992"/>
      <c r="X2" s="2934"/>
      <c r="Y2" s="2935"/>
      <c r="Z2" s="2935"/>
      <c r="AA2" s="2935"/>
      <c r="AB2" s="2935"/>
      <c r="AC2" s="2935"/>
      <c r="AD2" s="2935"/>
      <c r="AE2" s="2935"/>
      <c r="AF2" s="2936"/>
      <c r="AG2" s="2934">
        <f>INDEX(PT_DIFFERENTIATION_NTAR,MATCH(A2,PT_DIFFERENTIATION_NTAR_ID,0))</f>
      </c>
      <c r="AH2" s="2935"/>
      <c r="AI2" s="2935"/>
      <c r="AJ2" s="2935"/>
      <c r="AK2" s="2935"/>
      <c r="AL2" s="2935"/>
      <c r="AM2" s="2935"/>
      <c r="AN2" s="2935"/>
      <c r="AO2" s="2935"/>
      <c r="AP2" s="7331"/>
      <c r="AQ2" s="7332"/>
      <c r="AR2" s="7332"/>
      <c r="AS2" s="7332"/>
      <c r="AT2" s="7332"/>
      <c r="AU2" s="7332"/>
      <c r="AV2" s="7332"/>
      <c r="AW2" s="7332"/>
      <c r="AX2" s="7333"/>
      <c r="AY2" s="7331"/>
      <c r="AZ2" s="7332"/>
      <c r="BA2" s="7332"/>
      <c r="BB2" s="7332"/>
      <c r="BC2" s="7332"/>
      <c r="BD2" s="7332"/>
      <c r="BE2" s="7332"/>
      <c r="BF2" s="7332"/>
      <c r="BG2" s="7333"/>
      <c r="BH2" s="7331"/>
      <c r="BI2" s="7332"/>
      <c r="BJ2" s="7332"/>
      <c r="BK2" s="7332"/>
      <c r="BL2" s="7332"/>
      <c r="BM2" s="7332"/>
      <c r="BN2" s="7332"/>
      <c r="BO2" s="7332"/>
      <c r="BP2" s="7333"/>
      <c r="BQ2" s="7331"/>
      <c r="BR2" s="7332"/>
      <c r="BS2" s="7332"/>
      <c r="BT2" s="7332"/>
      <c r="BU2" s="7332"/>
      <c r="BV2" s="7332"/>
      <c r="BW2" s="7332"/>
      <c r="BX2" s="7332"/>
      <c r="BY2" s="7333"/>
      <c r="BZ2" s="2936"/>
      <c r="CA2" s="1950" t="s">
        <v>471</v>
      </c>
      <c r="CC2" s="1192"/>
      <c r="CD2" s="1192" t="str">
        <f>IF(V2="","",V2)</f>
        <v>Наименование тарифа</v>
      </c>
      <c r="CE2" s="1192"/>
      <c r="CF2" s="1192"/>
      <c r="CG2" s="1847">
        <v>0</v>
      </c>
    </row>
    <row customHeight="1" ht="21" hidden="1">
      <c r="A3" s="1959"/>
      <c r="B3" s="1959"/>
      <c r="C3" s="1959"/>
      <c r="D3" s="1959"/>
      <c r="E3" s="2982"/>
      <c r="F3" s="2981">
        <v>1</v>
      </c>
      <c r="G3" s="1959"/>
      <c r="H3" s="1959"/>
      <c r="I3" s="1959"/>
      <c r="J3" s="1959"/>
      <c r="K3" s="1959"/>
      <c r="L3" s="1959"/>
      <c r="M3" s="2002"/>
      <c r="N3" s="1380"/>
      <c r="O3" s="1380"/>
      <c r="P3" s="1380"/>
      <c r="Q3" s="2024"/>
      <c r="R3" s="1044"/>
      <c r="S3" s="1201"/>
      <c r="T3" s="1045"/>
      <c r="U3" s="2028">
        <f>INDEX(PT_DIFFERENTIATION_NUM_TER,MATCH(B3,PT_DIFFERENTIATION_TER_ID,0))</f>
      </c>
      <c r="V3" s="1000" t="s">
        <v>472</v>
      </c>
      <c r="W3" s="992"/>
      <c r="X3" s="2934"/>
      <c r="Y3" s="2935"/>
      <c r="Z3" s="2935"/>
      <c r="AA3" s="2935"/>
      <c r="AB3" s="2935"/>
      <c r="AC3" s="2935"/>
      <c r="AD3" s="2935"/>
      <c r="AE3" s="2935"/>
      <c r="AF3" s="2936"/>
      <c r="AG3" s="2934">
        <f>INDEX(PT_DIFFERENTIATION_TER,MATCH(B3,PT_DIFFERENTIATION_TER_ID,0))</f>
      </c>
      <c r="AH3" s="2935"/>
      <c r="AI3" s="2935"/>
      <c r="AJ3" s="2935"/>
      <c r="AK3" s="2935"/>
      <c r="AL3" s="2935"/>
      <c r="AM3" s="2935"/>
      <c r="AN3" s="2935"/>
      <c r="AO3" s="2935"/>
      <c r="AP3" s="7331"/>
      <c r="AQ3" s="7332"/>
      <c r="AR3" s="7332"/>
      <c r="AS3" s="7332"/>
      <c r="AT3" s="7332"/>
      <c r="AU3" s="7332"/>
      <c r="AV3" s="7332"/>
      <c r="AW3" s="7332"/>
      <c r="AX3" s="7333"/>
      <c r="AY3" s="7331"/>
      <c r="AZ3" s="7332"/>
      <c r="BA3" s="7332"/>
      <c r="BB3" s="7332"/>
      <c r="BC3" s="7332"/>
      <c r="BD3" s="7332"/>
      <c r="BE3" s="7332"/>
      <c r="BF3" s="7332"/>
      <c r="BG3" s="7333"/>
      <c r="BH3" s="7331"/>
      <c r="BI3" s="7332"/>
      <c r="BJ3" s="7332"/>
      <c r="BK3" s="7332"/>
      <c r="BL3" s="7332"/>
      <c r="BM3" s="7332"/>
      <c r="BN3" s="7332"/>
      <c r="BO3" s="7332"/>
      <c r="BP3" s="7333"/>
      <c r="BQ3" s="7331"/>
      <c r="BR3" s="7332"/>
      <c r="BS3" s="7332"/>
      <c r="BT3" s="7332"/>
      <c r="BU3" s="7332"/>
      <c r="BV3" s="7332"/>
      <c r="BW3" s="7332"/>
      <c r="BX3" s="7332"/>
      <c r="BY3" s="7333"/>
      <c r="BZ3" s="2936"/>
      <c r="CA3" s="1950" t="s">
        <v>473</v>
      </c>
      <c r="CC3" s="1192"/>
      <c r="CD3" s="1192" t="str">
        <f>IF(V3="","",V3)</f>
        <v>Территория действия тарифа</v>
      </c>
      <c r="CE3" s="1192"/>
      <c r="CF3" s="1192"/>
      <c r="CG3" s="1847">
        <v>0</v>
      </c>
    </row>
    <row customHeight="1" ht="22.5" hidden="1">
      <c r="A4" s="1959"/>
      <c r="B4" s="1959"/>
      <c r="C4" s="1959"/>
      <c r="D4" s="1959"/>
      <c r="E4" s="2982"/>
      <c r="F4" s="2982"/>
      <c r="G4" s="2981">
        <v>1</v>
      </c>
      <c r="H4" s="1959"/>
      <c r="I4" s="1959"/>
      <c r="J4" s="1959"/>
      <c r="K4" s="1959"/>
      <c r="L4" s="1959"/>
      <c r="M4" s="2002"/>
      <c r="N4" s="1380"/>
      <c r="O4" s="1380"/>
      <c r="P4" s="1380"/>
      <c r="Q4" s="1046"/>
      <c r="R4" s="1044"/>
      <c r="S4" s="1201"/>
      <c r="T4" s="1045"/>
      <c r="U4" s="2028">
        <f>INDEX(PT_DIFFERENTIATION_NUM_CS,MATCH(C4,PT_DIFFERENTIATION_CS_ID,0))</f>
      </c>
      <c r="V4" s="1001" t="s">
        <v>474</v>
      </c>
      <c r="W4" s="992"/>
      <c r="X4" s="2934"/>
      <c r="Y4" s="2935"/>
      <c r="Z4" s="2935"/>
      <c r="AA4" s="2935"/>
      <c r="AB4" s="2935"/>
      <c r="AC4" s="2935"/>
      <c r="AD4" s="2935"/>
      <c r="AE4" s="2935"/>
      <c r="AF4" s="2936"/>
      <c r="AG4" s="2934">
        <f>INDEX(PT_DIFFERENTIATION_CS,MATCH(C4,PT_DIFFERENTIATION_CS_ID,0))</f>
      </c>
      <c r="AH4" s="2935"/>
      <c r="AI4" s="2935"/>
      <c r="AJ4" s="2935"/>
      <c r="AK4" s="2935"/>
      <c r="AL4" s="2935"/>
      <c r="AM4" s="2935"/>
      <c r="AN4" s="2935"/>
      <c r="AO4" s="2935"/>
      <c r="AP4" s="7331"/>
      <c r="AQ4" s="7332"/>
      <c r="AR4" s="7332"/>
      <c r="AS4" s="7332"/>
      <c r="AT4" s="7332"/>
      <c r="AU4" s="7332"/>
      <c r="AV4" s="7332"/>
      <c r="AW4" s="7332"/>
      <c r="AX4" s="7333"/>
      <c r="AY4" s="7331"/>
      <c r="AZ4" s="7332"/>
      <c r="BA4" s="7332"/>
      <c r="BB4" s="7332"/>
      <c r="BC4" s="7332"/>
      <c r="BD4" s="7332"/>
      <c r="BE4" s="7332"/>
      <c r="BF4" s="7332"/>
      <c r="BG4" s="7333"/>
      <c r="BH4" s="7331"/>
      <c r="BI4" s="7332"/>
      <c r="BJ4" s="7332"/>
      <c r="BK4" s="7332"/>
      <c r="BL4" s="7332"/>
      <c r="BM4" s="7332"/>
      <c r="BN4" s="7332"/>
      <c r="BO4" s="7332"/>
      <c r="BP4" s="7333"/>
      <c r="BQ4" s="7331"/>
      <c r="BR4" s="7332"/>
      <c r="BS4" s="7332"/>
      <c r="BT4" s="7332"/>
      <c r="BU4" s="7332"/>
      <c r="BV4" s="7332"/>
      <c r="BW4" s="7332"/>
      <c r="BX4" s="7332"/>
      <c r="BY4" s="7333"/>
      <c r="BZ4" s="2936"/>
      <c r="CA4" s="1950" t="s">
        <v>475</v>
      </c>
      <c r="CC4" s="1192"/>
      <c r="CD4" s="1192" t="str">
        <f>IF(V4="","",V4)</f>
        <v>Наименование системы теплоснабжения </v>
      </c>
      <c r="CE4" s="1192"/>
      <c r="CF4" s="1192"/>
      <c r="CG4" s="1847">
        <v>0</v>
      </c>
    </row>
    <row customHeight="1" ht="21" hidden="1">
      <c r="A5" s="1959"/>
      <c r="B5" s="1959"/>
      <c r="C5" s="1959"/>
      <c r="D5" s="1959"/>
      <c r="E5" s="2982"/>
      <c r="F5" s="2982"/>
      <c r="G5" s="2982"/>
      <c r="H5" s="2981">
        <v>1</v>
      </c>
      <c r="I5" s="1959"/>
      <c r="J5" s="1959"/>
      <c r="K5" s="1959"/>
      <c r="L5" s="1959"/>
      <c r="M5" s="2002"/>
      <c r="N5" s="1380"/>
      <c r="O5" s="1380"/>
      <c r="P5" s="1380"/>
      <c r="Q5" s="1046"/>
      <c r="R5" s="1044"/>
      <c r="S5" s="1201"/>
      <c r="T5" s="1045"/>
      <c r="U5" s="2028">
        <f>INDEX(PT_DIFFERENTIATION_NUM_IST_TE,MATCH(D5,PT_DIFFERENTIATION_IST_TE_ID,0))</f>
      </c>
      <c r="V5" s="1002" t="s">
        <v>476</v>
      </c>
      <c r="W5" s="992"/>
      <c r="X5" s="2934"/>
      <c r="Y5" s="2935"/>
      <c r="Z5" s="2935"/>
      <c r="AA5" s="2935"/>
      <c r="AB5" s="2935"/>
      <c r="AC5" s="2935"/>
      <c r="AD5" s="2935"/>
      <c r="AE5" s="2935"/>
      <c r="AF5" s="2936"/>
      <c r="AG5" s="2934">
        <f>INDEX(PT_DIFFERENTIATION_IST_TE,MATCH(D5,PT_DIFFERENTIATION_IST_TE_ID,0))</f>
      </c>
      <c r="AH5" s="2935"/>
      <c r="AI5" s="2935"/>
      <c r="AJ5" s="2935"/>
      <c r="AK5" s="2935"/>
      <c r="AL5" s="2935"/>
      <c r="AM5" s="2935"/>
      <c r="AN5" s="2935"/>
      <c r="AO5" s="2935"/>
      <c r="AP5" s="7331"/>
      <c r="AQ5" s="7332"/>
      <c r="AR5" s="7332"/>
      <c r="AS5" s="7332"/>
      <c r="AT5" s="7332"/>
      <c r="AU5" s="7332"/>
      <c r="AV5" s="7332"/>
      <c r="AW5" s="7332"/>
      <c r="AX5" s="7333"/>
      <c r="AY5" s="7331"/>
      <c r="AZ5" s="7332"/>
      <c r="BA5" s="7332"/>
      <c r="BB5" s="7332"/>
      <c r="BC5" s="7332"/>
      <c r="BD5" s="7332"/>
      <c r="BE5" s="7332"/>
      <c r="BF5" s="7332"/>
      <c r="BG5" s="7333"/>
      <c r="BH5" s="7331"/>
      <c r="BI5" s="7332"/>
      <c r="BJ5" s="7332"/>
      <c r="BK5" s="7332"/>
      <c r="BL5" s="7332"/>
      <c r="BM5" s="7332"/>
      <c r="BN5" s="7332"/>
      <c r="BO5" s="7332"/>
      <c r="BP5" s="7333"/>
      <c r="BQ5" s="7331"/>
      <c r="BR5" s="7332"/>
      <c r="BS5" s="7332"/>
      <c r="BT5" s="7332"/>
      <c r="BU5" s="7332"/>
      <c r="BV5" s="7332"/>
      <c r="BW5" s="7332"/>
      <c r="BX5" s="7332"/>
      <c r="BY5" s="7333"/>
      <c r="BZ5" s="2936"/>
      <c r="CA5" s="1950" t="s">
        <v>477</v>
      </c>
      <c r="CC5" s="1192"/>
      <c r="CD5" s="1192" t="str">
        <f>IF(V5="","",V5)</f>
        <v>Источник тепловой энергии  </v>
      </c>
      <c r="CE5" s="1192"/>
      <c r="CF5" s="1192"/>
      <c r="CG5" s="1847">
        <v>0</v>
      </c>
    </row>
    <row customHeight="1" ht="14.25" hidden="1">
      <c r="A6" s="1959"/>
      <c r="B6" s="1959"/>
      <c r="C6" s="1959"/>
      <c r="D6" s="1959"/>
      <c r="E6" s="2982"/>
      <c r="F6" s="2982"/>
      <c r="G6" s="2982"/>
      <c r="H6" s="2982"/>
      <c r="I6" s="2819">
        <f>U5&amp;".1"</f>
      </c>
      <c r="J6" s="1959"/>
      <c r="K6" s="1959"/>
      <c r="L6" s="1959"/>
      <c r="M6" s="2002" t="s">
        <v>478</v>
      </c>
      <c r="N6" s="1201"/>
      <c r="Q6" s="2949">
        <v>1</v>
      </c>
      <c r="R6" s="2023"/>
      <c r="S6" s="2023"/>
      <c r="T6" s="1048"/>
      <c r="U6" s="1734"/>
      <c r="V6" s="2075"/>
      <c r="W6" s="2076"/>
      <c r="X6" s="2988"/>
      <c r="Y6" s="2989"/>
      <c r="Z6" s="2989"/>
      <c r="AA6" s="2989"/>
      <c r="AB6" s="2989"/>
      <c r="AC6" s="2989"/>
      <c r="AD6" s="2989"/>
      <c r="AE6" s="2989"/>
      <c r="AF6" s="2990"/>
      <c r="AG6" s="2988"/>
      <c r="AH6" s="2989"/>
      <c r="AI6" s="2989"/>
      <c r="AJ6" s="2989"/>
      <c r="AK6" s="2989"/>
      <c r="AL6" s="2989"/>
      <c r="AM6" s="2989"/>
      <c r="AN6" s="2989"/>
      <c r="AO6" s="2989"/>
      <c r="AP6" s="7340"/>
      <c r="AQ6" s="7341"/>
      <c r="AR6" s="7341"/>
      <c r="AS6" s="7341"/>
      <c r="AT6" s="7341"/>
      <c r="AU6" s="7341"/>
      <c r="AV6" s="7341"/>
      <c r="AW6" s="7341"/>
      <c r="AX6" s="7342"/>
      <c r="AY6" s="7340"/>
      <c r="AZ6" s="7341"/>
      <c r="BA6" s="7341"/>
      <c r="BB6" s="7341"/>
      <c r="BC6" s="7341"/>
      <c r="BD6" s="7341"/>
      <c r="BE6" s="7341"/>
      <c r="BF6" s="7341"/>
      <c r="BG6" s="7342"/>
      <c r="BH6" s="7340"/>
      <c r="BI6" s="7341"/>
      <c r="BJ6" s="7341"/>
      <c r="BK6" s="7341"/>
      <c r="BL6" s="7341"/>
      <c r="BM6" s="7341"/>
      <c r="BN6" s="7341"/>
      <c r="BO6" s="7341"/>
      <c r="BP6" s="7342"/>
      <c r="BQ6" s="7340"/>
      <c r="BR6" s="7341"/>
      <c r="BS6" s="7341"/>
      <c r="BT6" s="7341"/>
      <c r="BU6" s="7341"/>
      <c r="BV6" s="7341"/>
      <c r="BW6" s="7341"/>
      <c r="BX6" s="7341"/>
      <c r="BY6" s="7342"/>
      <c r="BZ6" s="2990"/>
      <c r="CA6" s="2077"/>
      <c r="CC6" s="1192"/>
      <c r="CD6" s="1192" t="str">
        <f>IF(V6="","",V6)</f>
        <v/>
      </c>
      <c r="CE6" s="1192"/>
      <c r="CF6" s="1192"/>
      <c r="CG6" s="1847">
        <v>0</v>
      </c>
    </row>
    <row customHeight="1" ht="21" hidden="1">
      <c r="A7" s="1959"/>
      <c r="B7" s="1959"/>
      <c r="C7" s="1959"/>
      <c r="D7" s="1959"/>
      <c r="E7" s="2982"/>
      <c r="F7" s="2982"/>
      <c r="G7" s="2982"/>
      <c r="H7" s="2982"/>
      <c r="I7" s="2793"/>
      <c r="J7" s="2819">
        <f>I6&amp;".1"</f>
      </c>
      <c r="K7" s="1959"/>
      <c r="L7" s="1959"/>
      <c r="M7" s="2002" t="s">
        <v>481</v>
      </c>
      <c r="N7" s="1201"/>
      <c r="O7" s="1019"/>
      <c r="Q7" s="2949"/>
      <c r="R7" s="2949">
        <v>1</v>
      </c>
      <c r="S7" s="1210"/>
      <c r="T7" s="1049"/>
      <c r="U7" s="2028">
        <f>$J7</f>
      </c>
      <c r="V7" s="978" t="s">
        <v>482</v>
      </c>
      <c r="W7" s="992"/>
      <c r="X7" s="2937"/>
      <c r="Y7" s="2938"/>
      <c r="Z7" s="2938"/>
      <c r="AA7" s="2938"/>
      <c r="AB7" s="2938"/>
      <c r="AC7" s="2927"/>
      <c r="AD7" s="2927"/>
      <c r="AE7" s="2927"/>
      <c r="AF7" s="3000"/>
      <c r="AG7" s="2937"/>
      <c r="AH7" s="2938"/>
      <c r="AI7" s="2938"/>
      <c r="AJ7" s="2938"/>
      <c r="AK7" s="2938"/>
      <c r="AL7" s="2938"/>
      <c r="AM7" s="2938"/>
      <c r="AN7" s="2938"/>
      <c r="AO7" s="2938"/>
      <c r="AP7" s="7344"/>
      <c r="AQ7" s="7345"/>
      <c r="AR7" s="7345"/>
      <c r="AS7" s="7345"/>
      <c r="AT7" s="7345"/>
      <c r="AU7" s="7854"/>
      <c r="AV7" s="7854"/>
      <c r="AW7" s="7854"/>
      <c r="AX7" s="7855"/>
      <c r="AY7" s="7344"/>
      <c r="AZ7" s="7345"/>
      <c r="BA7" s="7345"/>
      <c r="BB7" s="7345"/>
      <c r="BC7" s="7345"/>
      <c r="BD7" s="7854"/>
      <c r="BE7" s="7854"/>
      <c r="BF7" s="7854"/>
      <c r="BG7" s="7855"/>
      <c r="BH7" s="7344"/>
      <c r="BI7" s="7345"/>
      <c r="BJ7" s="7345"/>
      <c r="BK7" s="7345"/>
      <c r="BL7" s="7345"/>
      <c r="BM7" s="7854"/>
      <c r="BN7" s="7854"/>
      <c r="BO7" s="7854"/>
      <c r="BP7" s="7855"/>
      <c r="BQ7" s="7344"/>
      <c r="BR7" s="7345"/>
      <c r="BS7" s="7345"/>
      <c r="BT7" s="7345"/>
      <c r="BU7" s="7345"/>
      <c r="BV7" s="7854"/>
      <c r="BW7" s="7854"/>
      <c r="BX7" s="7854"/>
      <c r="BY7" s="7855"/>
      <c r="BZ7" s="2939"/>
      <c r="CA7" s="1950" t="s">
        <v>483</v>
      </c>
      <c r="CC7" s="1192"/>
      <c r="CD7" s="1192" t="str">
        <f>IF(V7="","",V7)</f>
        <v>Группа потребителей</v>
      </c>
      <c r="CE7" s="1192"/>
      <c r="CF7" s="1192"/>
      <c r="CG7" s="1847">
        <v>0</v>
      </c>
    </row>
    <row customHeight="1" ht="21" hidden="1">
      <c r="A8" s="1959"/>
      <c r="B8" s="1959"/>
      <c r="C8" s="1959"/>
      <c r="D8" s="1959"/>
      <c r="E8" s="2982"/>
      <c r="F8" s="2982"/>
      <c r="G8" s="2982"/>
      <c r="H8" s="2982"/>
      <c r="I8" s="2793"/>
      <c r="J8" s="2793"/>
      <c r="K8" s="2819">
        <f>J7&amp;".1"</f>
      </c>
      <c r="L8" s="831"/>
      <c r="M8" s="2002" t="s">
        <v>484</v>
      </c>
      <c r="N8" s="1201"/>
      <c r="O8" s="1019"/>
      <c r="P8" s="1019"/>
      <c r="Q8" s="2949"/>
      <c r="R8" s="2949"/>
      <c r="S8" s="2949">
        <v>1</v>
      </c>
      <c r="T8" s="1049"/>
      <c r="U8" s="2028">
        <f>$K8</f>
      </c>
      <c r="V8" s="2039"/>
      <c r="W8" s="992"/>
      <c r="X8" s="1443"/>
      <c r="Y8" s="1443"/>
      <c r="Z8" s="1443"/>
      <c r="AA8" s="1443"/>
      <c r="AB8" s="2097"/>
      <c r="AC8" s="2957"/>
      <c r="AD8" s="2799" t="s">
        <v>67</v>
      </c>
      <c r="AE8" s="2957"/>
      <c r="AF8" s="2799" t="s">
        <v>67</v>
      </c>
      <c r="AG8" s="2099"/>
      <c r="AH8" s="1443"/>
      <c r="AI8" s="1443"/>
      <c r="AJ8" s="1443"/>
      <c r="AK8" s="1949"/>
      <c r="AL8" s="2957"/>
      <c r="AM8" s="2799" t="s">
        <v>67</v>
      </c>
      <c r="AN8" s="2957"/>
      <c r="AO8" s="2799" t="s">
        <v>67</v>
      </c>
      <c r="AP8" s="7347"/>
      <c r="AQ8" s="7347"/>
      <c r="AR8" s="7347"/>
      <c r="AS8" s="7347"/>
      <c r="AT8" s="7859"/>
      <c r="AU8" s="7350"/>
      <c r="AV8" s="7351" t="s">
        <v>67</v>
      </c>
      <c r="AW8" s="7350"/>
      <c r="AX8" s="7351" t="s">
        <v>67</v>
      </c>
      <c r="AY8" s="7347"/>
      <c r="AZ8" s="7347"/>
      <c r="BA8" s="7347"/>
      <c r="BB8" s="7347"/>
      <c r="BC8" s="7859"/>
      <c r="BD8" s="7350"/>
      <c r="BE8" s="7351" t="s">
        <v>67</v>
      </c>
      <c r="BF8" s="7350"/>
      <c r="BG8" s="7351" t="s">
        <v>67</v>
      </c>
      <c r="BH8" s="7347"/>
      <c r="BI8" s="7347"/>
      <c r="BJ8" s="7347"/>
      <c r="BK8" s="7347"/>
      <c r="BL8" s="7859"/>
      <c r="BM8" s="7350"/>
      <c r="BN8" s="7351" t="s">
        <v>67</v>
      </c>
      <c r="BO8" s="7350"/>
      <c r="BP8" s="7351" t="s">
        <v>67</v>
      </c>
      <c r="BQ8" s="7347"/>
      <c r="BR8" s="7347"/>
      <c r="BS8" s="7347"/>
      <c r="BT8" s="7347"/>
      <c r="BU8" s="7859"/>
      <c r="BV8" s="7350"/>
      <c r="BW8" s="7351" t="s">
        <v>67</v>
      </c>
      <c r="BX8" s="7350"/>
      <c r="BY8" s="7351" t="s">
        <v>67</v>
      </c>
      <c r="BZ8" s="1017"/>
      <c r="CA8" s="1999" t="s">
        <v>526</v>
      </c>
      <c r="CB8" s="1203">
        <f>STRCHECKDATE(X10:BZ10)</f>
      </c>
      <c r="CC8" s="1192"/>
      <c r="CD8" s="1192" t="str">
        <f>IF(V8="","",V8)</f>
        <v/>
      </c>
      <c r="CE8" s="1192"/>
      <c r="CF8" s="1192"/>
      <c r="CG8" s="1847">
        <v>0</v>
      </c>
    </row>
    <row customHeight="1" ht="21" hidden="1">
      <c r="A9" s="1959"/>
      <c r="B9" s="1959"/>
      <c r="C9" s="1959"/>
      <c r="D9" s="1959"/>
      <c r="E9" s="2982"/>
      <c r="F9" s="2982"/>
      <c r="G9" s="2982"/>
      <c r="H9" s="2982"/>
      <c r="I9" s="2793"/>
      <c r="J9" s="2793"/>
      <c r="K9" s="2793"/>
      <c r="L9" s="2819">
        <f>K8&amp;".1"</f>
      </c>
      <c r="M9" s="2002"/>
      <c r="N9" s="1201"/>
      <c r="O9" s="1019"/>
      <c r="P9" s="1019"/>
      <c r="Q9" s="2949"/>
      <c r="R9" s="2949"/>
      <c r="S9" s="2949"/>
      <c r="T9" s="1049"/>
      <c r="U9" s="2028">
        <f>$L9</f>
      </c>
      <c r="V9" s="2083"/>
      <c r="W9" s="992"/>
      <c r="X9" s="1017"/>
      <c r="Y9" s="1443"/>
      <c r="Z9" s="1443"/>
      <c r="AA9" s="1443"/>
      <c r="AB9" s="2097"/>
      <c r="AC9" s="3001"/>
      <c r="AD9" s="2799"/>
      <c r="AE9" s="3001"/>
      <c r="AF9" s="2799"/>
      <c r="AG9" s="2099"/>
      <c r="AH9" s="1443"/>
      <c r="AI9" s="1443"/>
      <c r="AJ9" s="1443"/>
      <c r="AK9" s="1949"/>
      <c r="AL9" s="3001"/>
      <c r="AM9" s="2799"/>
      <c r="AN9" s="3001"/>
      <c r="AO9" s="2799"/>
      <c r="AP9" s="7348"/>
      <c r="AQ9" s="7347"/>
      <c r="AR9" s="7347"/>
      <c r="AS9" s="7347"/>
      <c r="AT9" s="7859"/>
      <c r="AU9" s="7353"/>
      <c r="AV9" s="7351"/>
      <c r="AW9" s="7353"/>
      <c r="AX9" s="7351"/>
      <c r="AY9" s="7348"/>
      <c r="AZ9" s="7347"/>
      <c r="BA9" s="7347"/>
      <c r="BB9" s="7347"/>
      <c r="BC9" s="7859"/>
      <c r="BD9" s="7353"/>
      <c r="BE9" s="7351"/>
      <c r="BF9" s="7353"/>
      <c r="BG9" s="7351"/>
      <c r="BH9" s="7348"/>
      <c r="BI9" s="7347"/>
      <c r="BJ9" s="7347"/>
      <c r="BK9" s="7347"/>
      <c r="BL9" s="7859"/>
      <c r="BM9" s="7353"/>
      <c r="BN9" s="7351"/>
      <c r="BO9" s="7353"/>
      <c r="BP9" s="7351"/>
      <c r="BQ9" s="7348"/>
      <c r="BR9" s="7347"/>
      <c r="BS9" s="7347"/>
      <c r="BT9" s="7347"/>
      <c r="BU9" s="7859"/>
      <c r="BV9" s="7353"/>
      <c r="BW9" s="7351"/>
      <c r="BX9" s="7353"/>
      <c r="BY9" s="7351"/>
      <c r="BZ9" s="1017"/>
      <c r="CA9" s="2945" t="s">
        <v>527</v>
      </c>
      <c r="CC9" s="1192"/>
      <c r="CD9" s="1192"/>
      <c r="CE9" s="1192"/>
      <c r="CF9" s="1192"/>
      <c r="CG9" s="1847">
        <v>0</v>
      </c>
    </row>
    <row customHeight="1" ht="14.25" hidden="1">
      <c r="A10" s="1959"/>
      <c r="B10" s="1959"/>
      <c r="C10" s="1959"/>
      <c r="D10" s="1959"/>
      <c r="E10" s="2982"/>
      <c r="F10" s="2982"/>
      <c r="G10" s="2982"/>
      <c r="H10" s="2982"/>
      <c r="I10" s="2793"/>
      <c r="J10" s="2793"/>
      <c r="K10" s="2793"/>
      <c r="L10" s="2819"/>
      <c r="M10" s="2002"/>
      <c r="N10" s="1201"/>
      <c r="O10" s="1019"/>
      <c r="P10" s="1019"/>
      <c r="Q10" s="2949"/>
      <c r="R10" s="2949"/>
      <c r="S10" s="2949"/>
      <c r="T10" s="1049"/>
      <c r="U10" s="2034"/>
      <c r="V10" s="992"/>
      <c r="W10" s="992"/>
      <c r="X10" s="1017"/>
      <c r="Y10" s="1017"/>
      <c r="Z10" s="1017"/>
      <c r="AA10" s="1017"/>
      <c r="AB10" s="2098" t="str">
        <f>AC8&amp;"-"&amp;AE8</f>
        <v>-</v>
      </c>
      <c r="AC10" s="3001"/>
      <c r="AD10" s="2799"/>
      <c r="AE10" s="3001"/>
      <c r="AF10" s="2799"/>
      <c r="AG10" s="2074"/>
      <c r="AH10" s="1017"/>
      <c r="AI10" s="1017"/>
      <c r="AJ10" s="1017"/>
      <c r="AK10" s="1020" t="str">
        <f>AL8&amp;"-"&amp;AN8</f>
        <v>-</v>
      </c>
      <c r="AL10" s="3001"/>
      <c r="AM10" s="2799"/>
      <c r="AN10" s="3001"/>
      <c r="AO10" s="2799"/>
      <c r="AP10" s="7348"/>
      <c r="AQ10" s="7348"/>
      <c r="AR10" s="7348"/>
      <c r="AS10" s="7348"/>
      <c r="AT10" s="7865" t="str">
        <f>AU8&amp;"-"&amp;AW8</f>
        <v>-</v>
      </c>
      <c r="AU10" s="7353"/>
      <c r="AV10" s="7351"/>
      <c r="AW10" s="7353"/>
      <c r="AX10" s="7351"/>
      <c r="AY10" s="7348"/>
      <c r="AZ10" s="7348"/>
      <c r="BA10" s="7348"/>
      <c r="BB10" s="7348"/>
      <c r="BC10" s="7865" t="str">
        <f>BD8&amp;"-"&amp;BF8</f>
        <v>-</v>
      </c>
      <c r="BD10" s="7353"/>
      <c r="BE10" s="7351"/>
      <c r="BF10" s="7353"/>
      <c r="BG10" s="7351"/>
      <c r="BH10" s="7348"/>
      <c r="BI10" s="7348"/>
      <c r="BJ10" s="7348"/>
      <c r="BK10" s="7348"/>
      <c r="BL10" s="7865" t="str">
        <f>BM8&amp;"-"&amp;BO8</f>
        <v>-</v>
      </c>
      <c r="BM10" s="7353"/>
      <c r="BN10" s="7351"/>
      <c r="BO10" s="7353"/>
      <c r="BP10" s="7351"/>
      <c r="BQ10" s="7348"/>
      <c r="BR10" s="7348"/>
      <c r="BS10" s="7348"/>
      <c r="BT10" s="7348"/>
      <c r="BU10" s="7865" t="str">
        <f>BV8&amp;"-"&amp;BX8</f>
        <v>-</v>
      </c>
      <c r="BV10" s="7353"/>
      <c r="BW10" s="7351"/>
      <c r="BX10" s="7353"/>
      <c r="BY10" s="7351"/>
      <c r="BZ10" s="1017"/>
      <c r="CA10" s="2946"/>
      <c r="CC10" s="1192"/>
      <c r="CD10" s="1192" t="str">
        <f>IF(V10="","",V10)</f>
        <v/>
      </c>
      <c r="CE10" s="1192"/>
      <c r="CF10" s="1192"/>
      <c r="CG10" s="1847">
        <v>0</v>
      </c>
    </row>
    <row customHeight="1" ht="11.25" hidden="1">
      <c r="A11" s="1959"/>
      <c r="B11" s="1959"/>
      <c r="C11" s="1959"/>
      <c r="D11" s="1959"/>
      <c r="E11" s="2982"/>
      <c r="F11" s="2982"/>
      <c r="G11" s="2982"/>
      <c r="H11" s="2982"/>
      <c r="I11" s="2793"/>
      <c r="J11" s="2793"/>
      <c r="K11" s="2819"/>
      <c r="L11" s="1959"/>
      <c r="M11" s="2002"/>
      <c r="N11" s="1201"/>
      <c r="O11" s="1019"/>
      <c r="P11" s="1019"/>
      <c r="Q11" s="2949"/>
      <c r="R11" s="2949"/>
      <c r="S11" s="2949"/>
      <c r="T11" s="1049"/>
      <c r="U11" s="1970"/>
      <c r="V11" s="980" t="s">
        <v>528</v>
      </c>
      <c r="W11" s="2084"/>
      <c r="X11" s="2085"/>
      <c r="Y11" s="2085"/>
      <c r="Z11" s="2085"/>
      <c r="AA11" s="2085"/>
      <c r="AB11" s="2086"/>
      <c r="AC11" s="3001"/>
      <c r="AD11" s="2799"/>
      <c r="AE11" s="3001"/>
      <c r="AF11" s="2799"/>
      <c r="AG11" s="2085"/>
      <c r="AH11" s="2085"/>
      <c r="AI11" s="2085"/>
      <c r="AJ11" s="2085"/>
      <c r="AK11" s="2086"/>
      <c r="AL11" s="3001"/>
      <c r="AM11" s="2799"/>
      <c r="AN11" s="3001"/>
      <c r="AO11" s="2799"/>
      <c r="AP11" s="7869"/>
      <c r="AQ11" s="7870"/>
      <c r="AR11" s="7871"/>
      <c r="AS11" s="7872"/>
      <c r="AT11" s="7873"/>
      <c r="AU11" s="7353"/>
      <c r="AV11" s="7351"/>
      <c r="AW11" s="7353"/>
      <c r="AX11" s="7351"/>
      <c r="AY11" s="7874"/>
      <c r="AZ11" s="7875"/>
      <c r="BA11" s="7876"/>
      <c r="BB11" s="7877"/>
      <c r="BC11" s="7878"/>
      <c r="BD11" s="7353"/>
      <c r="BE11" s="7351"/>
      <c r="BF11" s="7353"/>
      <c r="BG11" s="7351"/>
      <c r="BH11" s="7879"/>
      <c r="BI11" s="7880"/>
      <c r="BJ11" s="7881"/>
      <c r="BK11" s="7882"/>
      <c r="BL11" s="7883"/>
      <c r="BM11" s="7353"/>
      <c r="BN11" s="7351"/>
      <c r="BO11" s="7353"/>
      <c r="BP11" s="7351"/>
      <c r="BQ11" s="7884"/>
      <c r="BR11" s="7885"/>
      <c r="BS11" s="7886"/>
      <c r="BT11" s="7887"/>
      <c r="BU11" s="7888"/>
      <c r="BV11" s="7353"/>
      <c r="BW11" s="7351"/>
      <c r="BX11" s="7353"/>
      <c r="BY11" s="7351"/>
      <c r="BZ11" s="2087"/>
      <c r="CA11" s="2946"/>
      <c r="CC11" s="1192"/>
      <c r="CD11" s="1192"/>
      <c r="CE11" s="1192"/>
      <c r="CF11" s="1192"/>
      <c r="CG11" s="1847">
        <v>0</v>
      </c>
    </row>
    <row customHeight="1" ht="15" hidden="1">
      <c r="A12" s="1959"/>
      <c r="B12" s="1959"/>
      <c r="C12" s="1959"/>
      <c r="D12" s="1959"/>
      <c r="E12" s="2982"/>
      <c r="F12" s="2982"/>
      <c r="G12" s="2982"/>
      <c r="H12" s="2982"/>
      <c r="I12" s="2793"/>
      <c r="J12" s="2819"/>
      <c r="K12" s="1959"/>
      <c r="L12" s="1959"/>
      <c r="M12" s="2002"/>
      <c r="N12" s="1201"/>
      <c r="O12" s="1019"/>
      <c r="Q12" s="2949"/>
      <c r="R12" s="2949"/>
      <c r="S12" s="2023"/>
      <c r="T12" s="1048"/>
      <c r="U12" s="1970"/>
      <c r="V12" s="979" t="s">
        <v>486</v>
      </c>
      <c r="W12" s="1059"/>
      <c r="X12" s="1059"/>
      <c r="Y12" s="1059"/>
      <c r="Z12" s="1059"/>
      <c r="AA12" s="1059"/>
      <c r="AB12" s="1059"/>
      <c r="AC12" s="2100"/>
      <c r="AD12" s="2100"/>
      <c r="AE12" s="2100"/>
      <c r="AF12" s="2100"/>
      <c r="AG12" s="1059"/>
      <c r="AH12" s="1059"/>
      <c r="AI12" s="1059"/>
      <c r="AJ12" s="1059"/>
      <c r="AK12" s="1059"/>
      <c r="AL12" s="1059"/>
      <c r="AM12" s="1059"/>
      <c r="AN12" s="1059"/>
      <c r="AO12" s="1059"/>
      <c r="AP12" s="7891"/>
      <c r="AQ12" s="7892"/>
      <c r="AR12" s="7893"/>
      <c r="AS12" s="7894"/>
      <c r="AT12" s="7895"/>
      <c r="AU12" s="7896"/>
      <c r="AV12" s="7897"/>
      <c r="AW12" s="7898"/>
      <c r="AX12" s="7899"/>
      <c r="AY12" s="7900"/>
      <c r="AZ12" s="7901"/>
      <c r="BA12" s="7902"/>
      <c r="BB12" s="7903"/>
      <c r="BC12" s="7904"/>
      <c r="BD12" s="7905"/>
      <c r="BE12" s="7906"/>
      <c r="BF12" s="7907"/>
      <c r="BG12" s="7908"/>
      <c r="BH12" s="7909"/>
      <c r="BI12" s="7910"/>
      <c r="BJ12" s="7911"/>
      <c r="BK12" s="7912"/>
      <c r="BL12" s="7913"/>
      <c r="BM12" s="7914"/>
      <c r="BN12" s="7915"/>
      <c r="BO12" s="7916"/>
      <c r="BP12" s="7917"/>
      <c r="BQ12" s="7918"/>
      <c r="BR12" s="7919"/>
      <c r="BS12" s="7920"/>
      <c r="BT12" s="7921"/>
      <c r="BU12" s="7922"/>
      <c r="BV12" s="7923"/>
      <c r="BW12" s="7924"/>
      <c r="BX12" s="7925"/>
      <c r="BY12" s="7926"/>
      <c r="BZ12" s="1016"/>
      <c r="CA12" s="2947"/>
      <c r="CC12" s="1192"/>
      <c r="CD12" s="1192" t="str">
        <f>IF(V12="","",V12)</f>
        <v>Добавить вид теплоносителя (параметры теплоносителя)</v>
      </c>
      <c r="CE12" s="1192"/>
      <c r="CF12" s="1192"/>
      <c r="CG12" s="1847">
        <v>0</v>
      </c>
    </row>
    <row customHeight="1" ht="11.25" hidden="1">
      <c r="A13" s="1959"/>
      <c r="B13" s="1959"/>
      <c r="C13" s="1959"/>
      <c r="D13" s="1959"/>
      <c r="E13" s="2982"/>
      <c r="F13" s="2982"/>
      <c r="G13" s="2982"/>
      <c r="H13" s="2982"/>
      <c r="I13" s="2819"/>
      <c r="J13" s="1959"/>
      <c r="K13" s="1959"/>
      <c r="L13" s="1959"/>
      <c r="M13" s="2002"/>
      <c r="N13" s="1201"/>
      <c r="Q13" s="2949"/>
      <c r="R13" s="2023"/>
      <c r="S13" s="2023"/>
      <c r="T13" s="1048"/>
      <c r="U13" s="1970"/>
      <c r="V13" s="1057" t="s">
        <v>487</v>
      </c>
      <c r="W13" s="1059"/>
      <c r="X13" s="1059"/>
      <c r="Y13" s="1059"/>
      <c r="Z13" s="1059"/>
      <c r="AA13" s="1059"/>
      <c r="AB13" s="1059"/>
      <c r="AC13" s="1059"/>
      <c r="AD13" s="1059"/>
      <c r="AE13" s="1059"/>
      <c r="AF13" s="1058"/>
      <c r="AG13" s="1059"/>
      <c r="AH13" s="1059"/>
      <c r="AI13" s="1059"/>
      <c r="AJ13" s="1059"/>
      <c r="AK13" s="1059"/>
      <c r="AL13" s="1059"/>
      <c r="AM13" s="1059"/>
      <c r="AN13" s="1059"/>
      <c r="AO13" s="1058"/>
      <c r="AP13" s="7927"/>
      <c r="AQ13" s="7928"/>
      <c r="AR13" s="7929"/>
      <c r="AS13" s="7930"/>
      <c r="AT13" s="7931"/>
      <c r="AU13" s="7932"/>
      <c r="AV13" s="7933"/>
      <c r="AW13" s="7934"/>
      <c r="AX13" s="7935"/>
      <c r="AY13" s="7936"/>
      <c r="AZ13" s="7937"/>
      <c r="BA13" s="7938"/>
      <c r="BB13" s="7939"/>
      <c r="BC13" s="7940"/>
      <c r="BD13" s="7941"/>
      <c r="BE13" s="7942"/>
      <c r="BF13" s="7943"/>
      <c r="BG13" s="7944"/>
      <c r="BH13" s="7945"/>
      <c r="BI13" s="7946"/>
      <c r="BJ13" s="7947"/>
      <c r="BK13" s="7948"/>
      <c r="BL13" s="7949"/>
      <c r="BM13" s="7950"/>
      <c r="BN13" s="7951"/>
      <c r="BO13" s="7952"/>
      <c r="BP13" s="7953"/>
      <c r="BQ13" s="7954"/>
      <c r="BR13" s="7955"/>
      <c r="BS13" s="7956"/>
      <c r="BT13" s="7957"/>
      <c r="BU13" s="7958"/>
      <c r="BV13" s="7959"/>
      <c r="BW13" s="7960"/>
      <c r="BX13" s="7961"/>
      <c r="BY13" s="7962"/>
      <c r="BZ13" s="1059"/>
      <c r="CA13" s="995"/>
      <c r="CC13" s="1192"/>
      <c r="CD13" s="1192" t="str">
        <f>IF(V13="","",V13)</f>
        <v>Добавить группу потребителей</v>
      </c>
      <c r="CE13" s="1192"/>
      <c r="CF13" s="1192"/>
      <c r="CG13" s="1847">
        <v>0</v>
      </c>
    </row>
    <row customHeight="1" ht="14.25" hidden="1">
      <c r="A14" s="1959"/>
      <c r="B14" s="1959"/>
      <c r="C14" s="1959"/>
      <c r="D14" s="1959"/>
      <c r="E14" s="2982"/>
      <c r="F14" s="2982"/>
      <c r="G14" s="2982"/>
      <c r="H14" s="2981"/>
      <c r="I14" s="1959"/>
      <c r="J14" s="1959"/>
      <c r="K14" s="1959"/>
      <c r="L14" s="1959"/>
      <c r="M14" s="2002"/>
      <c r="N14" s="1380"/>
      <c r="O14" s="1380"/>
      <c r="P14" s="1201"/>
      <c r="Q14" s="1052"/>
      <c r="R14" s="1067"/>
      <c r="S14" s="1047"/>
      <c r="T14" s="1052"/>
      <c r="U14" s="2078"/>
      <c r="V14" s="2079"/>
      <c r="W14" s="2080"/>
      <c r="X14" s="2080"/>
      <c r="Y14" s="2080"/>
      <c r="Z14" s="2080"/>
      <c r="AA14" s="2080"/>
      <c r="AB14" s="2080"/>
      <c r="AC14" s="2080"/>
      <c r="AD14" s="2080"/>
      <c r="AE14" s="2080"/>
      <c r="AF14" s="2080"/>
      <c r="AG14" s="2080"/>
      <c r="AH14" s="2080"/>
      <c r="AI14" s="2080"/>
      <c r="AJ14" s="2080"/>
      <c r="AK14" s="2080"/>
      <c r="AL14" s="2080"/>
      <c r="AM14" s="2080"/>
      <c r="AN14" s="2080"/>
      <c r="AO14" s="2080"/>
      <c r="AP14" s="7421"/>
      <c r="AQ14" s="7421"/>
      <c r="AR14" s="7421"/>
      <c r="AS14" s="7421"/>
      <c r="AT14" s="7421"/>
      <c r="AU14" s="7421"/>
      <c r="AV14" s="7421"/>
      <c r="AW14" s="7421"/>
      <c r="AX14" s="7421"/>
      <c r="AY14" s="7421"/>
      <c r="AZ14" s="7421"/>
      <c r="BA14" s="7421"/>
      <c r="BB14" s="7421"/>
      <c r="BC14" s="7421"/>
      <c r="BD14" s="7421"/>
      <c r="BE14" s="7421"/>
      <c r="BF14" s="7421"/>
      <c r="BG14" s="7421"/>
      <c r="BH14" s="7421"/>
      <c r="BI14" s="7421"/>
      <c r="BJ14" s="7421"/>
      <c r="BK14" s="7421"/>
      <c r="BL14" s="7421"/>
      <c r="BM14" s="7421"/>
      <c r="BN14" s="7421"/>
      <c r="BO14" s="7421"/>
      <c r="BP14" s="7421"/>
      <c r="BQ14" s="7421"/>
      <c r="BR14" s="7421"/>
      <c r="BS14" s="7421"/>
      <c r="BT14" s="7421"/>
      <c r="BU14" s="7421"/>
      <c r="BV14" s="7421"/>
      <c r="BW14" s="7421"/>
      <c r="BX14" s="7421"/>
      <c r="BY14" s="7421"/>
      <c r="BZ14" s="2080"/>
      <c r="CA14" s="2081"/>
      <c r="CC14" s="1192"/>
      <c r="CD14" s="1192" t="str">
        <f>IF(V14="","",V14)</f>
        <v/>
      </c>
      <c r="CE14" s="1192"/>
      <c r="CF14" s="1192"/>
      <c r="CG14" s="1847">
        <v>0</v>
      </c>
    </row>
    <row s="61695" customFormat="1" customHeight="1" ht="14.25" hidden="1">
      <c r="A15" s="2066"/>
      <c r="B15" s="2066"/>
      <c r="C15" s="2066"/>
      <c r="D15" s="2066"/>
      <c r="E15" s="2982"/>
      <c r="F15" s="2982"/>
      <c r="G15" s="2981"/>
      <c r="H15" s="2066"/>
      <c r="I15" s="2066"/>
      <c r="J15" s="2066"/>
      <c r="K15" s="2066"/>
      <c r="L15" s="2066"/>
      <c r="M15" s="2069"/>
      <c r="N15" s="2070"/>
      <c r="O15" s="2070"/>
      <c r="P15" s="1043"/>
      <c r="Q15" s="2008"/>
      <c r="R15" s="2009"/>
      <c r="S15" s="2008"/>
      <c r="T15" s="2008"/>
      <c r="U15" s="2010"/>
      <c r="V15" s="2011" t="s">
        <v>171</v>
      </c>
      <c r="W15" s="2012"/>
      <c r="X15" s="2012"/>
      <c r="Y15" s="2012"/>
      <c r="Z15" s="2012"/>
      <c r="AA15" s="2012"/>
      <c r="AB15" s="2012"/>
      <c r="AC15" s="2012"/>
      <c r="AD15" s="2012"/>
      <c r="AE15" s="2012"/>
      <c r="AF15" s="2012"/>
      <c r="AG15" s="2012"/>
      <c r="AH15" s="2012"/>
      <c r="AI15" s="2012"/>
      <c r="AJ15" s="2012"/>
      <c r="AK15" s="2012"/>
      <c r="AL15" s="2012"/>
      <c r="AM15" s="2012"/>
      <c r="AN15" s="2012"/>
      <c r="AO15" s="2012"/>
      <c r="AP15" s="7423"/>
      <c r="AQ15" s="7423"/>
      <c r="AR15" s="7423"/>
      <c r="AS15" s="7423"/>
      <c r="AT15" s="7423"/>
      <c r="AU15" s="7423"/>
      <c r="AV15" s="7423"/>
      <c r="AW15" s="7423"/>
      <c r="AX15" s="7423"/>
      <c r="AY15" s="7423"/>
      <c r="AZ15" s="7423"/>
      <c r="BA15" s="7423"/>
      <c r="BB15" s="7423"/>
      <c r="BC15" s="7423"/>
      <c r="BD15" s="7423"/>
      <c r="BE15" s="7423"/>
      <c r="BF15" s="7423"/>
      <c r="BG15" s="7423"/>
      <c r="BH15" s="7423"/>
      <c r="BI15" s="7423"/>
      <c r="BJ15" s="7423"/>
      <c r="BK15" s="7423"/>
      <c r="BL15" s="7423"/>
      <c r="BM15" s="7423"/>
      <c r="BN15" s="7423"/>
      <c r="BO15" s="7423"/>
      <c r="BP15" s="7423"/>
      <c r="BQ15" s="7423"/>
      <c r="BR15" s="7423"/>
      <c r="BS15" s="7423"/>
      <c r="BT15" s="7423"/>
      <c r="BU15" s="7423"/>
      <c r="BV15" s="7423"/>
      <c r="BW15" s="7423"/>
      <c r="BX15" s="7423"/>
      <c r="BY15" s="7423"/>
      <c r="BZ15" s="2012"/>
      <c r="CA15" s="2012"/>
      <c r="CC15" s="1481"/>
      <c r="CD15" s="1481" t="str">
        <f>IF(V15="","",V15)</f>
        <v>Добавить источник для дифференциации</v>
      </c>
      <c r="CE15" s="1481"/>
      <c r="CF15" s="1481"/>
      <c r="CG15" s="1210">
        <v>0</v>
      </c>
    </row>
    <row s="61695" customFormat="1" customHeight="1" ht="14.25" hidden="1">
      <c r="A16" s="2066"/>
      <c r="B16" s="2066"/>
      <c r="C16" s="2066"/>
      <c r="D16" s="2066"/>
      <c r="E16" s="2982"/>
      <c r="F16" s="2981"/>
      <c r="G16" s="2066"/>
      <c r="H16" s="2066"/>
      <c r="I16" s="2066"/>
      <c r="J16" s="2066"/>
      <c r="K16" s="2066"/>
      <c r="L16" s="2066"/>
      <c r="M16" s="2069"/>
      <c r="N16" s="2071"/>
      <c r="O16" s="2071"/>
      <c r="P16" s="1043"/>
      <c r="Q16" s="2008"/>
      <c r="R16" s="2009"/>
      <c r="S16" s="2008"/>
      <c r="T16" s="2008"/>
      <c r="U16" s="2014"/>
      <c r="V16" s="2015" t="s">
        <v>172</v>
      </c>
      <c r="W16" s="2016"/>
      <c r="X16" s="2016"/>
      <c r="Y16" s="2016"/>
      <c r="Z16" s="2016"/>
      <c r="AA16" s="2016"/>
      <c r="AB16" s="2016"/>
      <c r="AC16" s="2016"/>
      <c r="AD16" s="2016"/>
      <c r="AE16" s="2016"/>
      <c r="AF16" s="2016"/>
      <c r="AG16" s="2016"/>
      <c r="AH16" s="2016"/>
      <c r="AI16" s="2016"/>
      <c r="AJ16" s="2016"/>
      <c r="AK16" s="2016"/>
      <c r="AL16" s="2016"/>
      <c r="AM16" s="2016"/>
      <c r="AN16" s="2016"/>
      <c r="AO16" s="2016"/>
      <c r="AP16" s="7424"/>
      <c r="AQ16" s="7424"/>
      <c r="AR16" s="7424"/>
      <c r="AS16" s="7424"/>
      <c r="AT16" s="7424"/>
      <c r="AU16" s="7424"/>
      <c r="AV16" s="7424"/>
      <c r="AW16" s="7424"/>
      <c r="AX16" s="7424"/>
      <c r="AY16" s="7424"/>
      <c r="AZ16" s="7424"/>
      <c r="BA16" s="7424"/>
      <c r="BB16" s="7424"/>
      <c r="BC16" s="7424"/>
      <c r="BD16" s="7424"/>
      <c r="BE16" s="7424"/>
      <c r="BF16" s="7424"/>
      <c r="BG16" s="7424"/>
      <c r="BH16" s="7424"/>
      <c r="BI16" s="7424"/>
      <c r="BJ16" s="7424"/>
      <c r="BK16" s="7424"/>
      <c r="BL16" s="7424"/>
      <c r="BM16" s="7424"/>
      <c r="BN16" s="7424"/>
      <c r="BO16" s="7424"/>
      <c r="BP16" s="7424"/>
      <c r="BQ16" s="7424"/>
      <c r="BR16" s="7424"/>
      <c r="BS16" s="7424"/>
      <c r="BT16" s="7424"/>
      <c r="BU16" s="7424"/>
      <c r="BV16" s="7424"/>
      <c r="BW16" s="7424"/>
      <c r="BX16" s="7424"/>
      <c r="BY16" s="7424"/>
      <c r="BZ16" s="2016"/>
      <c r="CA16" s="2016"/>
      <c r="CC16" s="1481"/>
      <c r="CD16" s="1481" t="str">
        <f>IF(V16="","",V16)</f>
        <v>Добавить централизованную систему для дифференциации</v>
      </c>
      <c r="CE16" s="1481"/>
      <c r="CF16" s="1481"/>
      <c r="CG16" s="1210">
        <v>0</v>
      </c>
    </row>
    <row s="61695" customFormat="1" customHeight="1" ht="14.25" hidden="1">
      <c r="A17" s="2066"/>
      <c r="B17" s="2066"/>
      <c r="C17" s="2066"/>
      <c r="D17" s="2066"/>
      <c r="E17" s="2981"/>
      <c r="F17" s="2066"/>
      <c r="G17" s="2066"/>
      <c r="H17" s="2066"/>
      <c r="I17" s="2066"/>
      <c r="J17" s="2066"/>
      <c r="K17" s="2066"/>
      <c r="L17" s="2066"/>
      <c r="M17" s="2069"/>
      <c r="N17" s="2071"/>
      <c r="O17" s="2071"/>
      <c r="P17" s="1043"/>
      <c r="Q17" s="2008"/>
      <c r="R17" s="2009"/>
      <c r="S17" s="2008"/>
      <c r="T17" s="2008"/>
      <c r="U17" s="2014"/>
      <c r="V17" s="2017" t="s">
        <v>173</v>
      </c>
      <c r="W17" s="2016"/>
      <c r="X17" s="2016"/>
      <c r="Y17" s="2016"/>
      <c r="Z17" s="2016"/>
      <c r="AA17" s="2016"/>
      <c r="AB17" s="2016"/>
      <c r="AC17" s="2016"/>
      <c r="AD17" s="2016"/>
      <c r="AE17" s="2016"/>
      <c r="AF17" s="2016"/>
      <c r="AG17" s="2016"/>
      <c r="AH17" s="2016"/>
      <c r="AI17" s="2016"/>
      <c r="AJ17" s="2016"/>
      <c r="AK17" s="2016"/>
      <c r="AL17" s="2016"/>
      <c r="AM17" s="2016"/>
      <c r="AN17" s="2016"/>
      <c r="AO17" s="2016"/>
      <c r="AP17" s="7424"/>
      <c r="AQ17" s="7424"/>
      <c r="AR17" s="7424"/>
      <c r="AS17" s="7424"/>
      <c r="AT17" s="7424"/>
      <c r="AU17" s="7424"/>
      <c r="AV17" s="7424"/>
      <c r="AW17" s="7424"/>
      <c r="AX17" s="7424"/>
      <c r="AY17" s="7424"/>
      <c r="AZ17" s="7424"/>
      <c r="BA17" s="7424"/>
      <c r="BB17" s="7424"/>
      <c r="BC17" s="7424"/>
      <c r="BD17" s="7424"/>
      <c r="BE17" s="7424"/>
      <c r="BF17" s="7424"/>
      <c r="BG17" s="7424"/>
      <c r="BH17" s="7424"/>
      <c r="BI17" s="7424"/>
      <c r="BJ17" s="7424"/>
      <c r="BK17" s="7424"/>
      <c r="BL17" s="7424"/>
      <c r="BM17" s="7424"/>
      <c r="BN17" s="7424"/>
      <c r="BO17" s="7424"/>
      <c r="BP17" s="7424"/>
      <c r="BQ17" s="7424"/>
      <c r="BR17" s="7424"/>
      <c r="BS17" s="7424"/>
      <c r="BT17" s="7424"/>
      <c r="BU17" s="7424"/>
      <c r="BV17" s="7424"/>
      <c r="BW17" s="7424"/>
      <c r="BX17" s="7424"/>
      <c r="BY17" s="7424"/>
      <c r="BZ17" s="2016"/>
      <c r="CA17" s="2016"/>
      <c r="CC17" s="1481"/>
      <c r="CD17" s="1481" t="str">
        <f>IF(V17="","",V17)</f>
        <v>Добавить территорию для дифференциации</v>
      </c>
      <c r="CE17" s="1481"/>
      <c r="CF17" s="1481"/>
      <c r="CG17" s="1210">
        <v>0</v>
      </c>
    </row>
    <row customHeight="1" ht="14.25" hidden="1">
      <c r="AF18" s="1019"/>
      <c r="AO18" s="1019"/>
      <c r="AP18" s="7330"/>
      <c r="AQ18" s="7330"/>
      <c r="AR18" s="7330"/>
      <c r="AS18" s="7330"/>
      <c r="AT18" s="7330"/>
      <c r="AU18" s="7330"/>
      <c r="AV18" s="7330"/>
      <c r="AW18" s="7330"/>
      <c r="AX18" s="7330"/>
      <c r="AY18" s="7330"/>
      <c r="AZ18" s="7330"/>
      <c r="BA18" s="7330"/>
      <c r="BB18" s="7330"/>
      <c r="BC18" s="7330"/>
      <c r="BD18" s="7330"/>
      <c r="BE18" s="7330"/>
      <c r="BF18" s="7330"/>
      <c r="BG18" s="7330"/>
      <c r="BH18" s="7330"/>
      <c r="BI18" s="7330"/>
      <c r="BJ18" s="7330"/>
      <c r="BK18" s="7330"/>
      <c r="BL18" s="7330"/>
      <c r="BM18" s="7330"/>
      <c r="BN18" s="7330"/>
      <c r="BO18" s="7330"/>
      <c r="BP18" s="7330"/>
      <c r="BQ18" s="7330"/>
      <c r="BR18" s="7330"/>
      <c r="BS18" s="7330"/>
      <c r="BT18" s="7330"/>
      <c r="BU18" s="7330"/>
      <c r="BV18" s="7330"/>
      <c r="BW18" s="7330"/>
      <c r="BX18" s="7330"/>
      <c r="BY18" s="7330"/>
      <c r="CG18" s="1847">
        <v>0</v>
      </c>
    </row>
    <row customHeight="1" ht="14.25" hidden="1">
      <c r="AG19" s="2052"/>
      <c r="AH19" s="2052"/>
      <c r="AI19" s="2052"/>
      <c r="AJ19" s="2052"/>
      <c r="AK19" s="2053"/>
      <c r="AL19" s="2959"/>
      <c r="AM19" s="2960" t="s">
        <v>67</v>
      </c>
      <c r="AN19" s="2959"/>
      <c r="AO19" s="2960" t="s">
        <v>67</v>
      </c>
      <c r="AP19" s="7330"/>
      <c r="AQ19" s="7330"/>
      <c r="AR19" s="7330"/>
      <c r="AS19" s="7330"/>
      <c r="AT19" s="7330"/>
      <c r="AU19" s="7330"/>
      <c r="AV19" s="7330"/>
      <c r="AW19" s="7330"/>
      <c r="AX19" s="7330"/>
      <c r="AY19" s="7330"/>
      <c r="AZ19" s="7330"/>
      <c r="BA19" s="7330"/>
      <c r="BB19" s="7330"/>
      <c r="BC19" s="7330"/>
      <c r="BD19" s="7330"/>
      <c r="BE19" s="7330"/>
      <c r="BF19" s="7330"/>
      <c r="BG19" s="7330"/>
      <c r="BH19" s="7330"/>
      <c r="BI19" s="7330"/>
      <c r="BJ19" s="7330"/>
      <c r="BK19" s="7330"/>
      <c r="BL19" s="7330"/>
      <c r="BM19" s="7330"/>
      <c r="BN19" s="7330"/>
      <c r="BO19" s="7330"/>
      <c r="BP19" s="7330"/>
      <c r="BQ19" s="7330"/>
      <c r="BR19" s="7330"/>
      <c r="BS19" s="7330"/>
      <c r="BT19" s="7330"/>
      <c r="BU19" s="7330"/>
      <c r="BV19" s="7330"/>
      <c r="BW19" s="7330"/>
      <c r="BX19" s="7330"/>
      <c r="BY19" s="7330"/>
      <c r="CG19" s="1847">
        <v>0</v>
      </c>
    </row>
    <row customHeight="1" ht="14.25" hidden="1">
      <c r="AG20" s="2052"/>
      <c r="AH20" s="2052"/>
      <c r="AI20" s="2052"/>
      <c r="AJ20" s="2052"/>
      <c r="AK20" s="2053"/>
      <c r="AL20" s="2959"/>
      <c r="AM20" s="2960"/>
      <c r="AN20" s="2959"/>
      <c r="AO20" s="2960"/>
      <c r="AP20" s="7330"/>
      <c r="AQ20" s="7330"/>
      <c r="AR20" s="7330"/>
      <c r="AS20" s="7330"/>
      <c r="AT20" s="7330"/>
      <c r="AU20" s="7330"/>
      <c r="AV20" s="7330"/>
      <c r="AW20" s="7330"/>
      <c r="AX20" s="7330"/>
      <c r="AY20" s="7330"/>
      <c r="AZ20" s="7330"/>
      <c r="BA20" s="7330"/>
      <c r="BB20" s="7330"/>
      <c r="BC20" s="7330"/>
      <c r="BD20" s="7330"/>
      <c r="BE20" s="7330"/>
      <c r="BF20" s="7330"/>
      <c r="BG20" s="7330"/>
      <c r="BH20" s="7330"/>
      <c r="BI20" s="7330"/>
      <c r="BJ20" s="7330"/>
      <c r="BK20" s="7330"/>
      <c r="BL20" s="7330"/>
      <c r="BM20" s="7330"/>
      <c r="BN20" s="7330"/>
      <c r="BO20" s="7330"/>
      <c r="BP20" s="7330"/>
      <c r="BQ20" s="7330"/>
      <c r="BR20" s="7330"/>
      <c r="BS20" s="7330"/>
      <c r="BT20" s="7330"/>
      <c r="BU20" s="7330"/>
      <c r="BV20" s="7330"/>
      <c r="BW20" s="7330"/>
      <c r="BX20" s="7330"/>
      <c r="BY20" s="7330"/>
      <c r="CG20" s="1847">
        <v>0</v>
      </c>
    </row>
    <row customHeight="1" ht="14.25" hidden="1">
      <c r="AG21" s="2052"/>
      <c r="AH21" s="2052"/>
      <c r="AI21" s="2052"/>
      <c r="AJ21" s="2052"/>
      <c r="AK21" s="2053"/>
      <c r="AL21" s="2959"/>
      <c r="AM21" s="2960"/>
      <c r="AN21" s="2959"/>
      <c r="AO21" s="2960"/>
      <c r="AP21" s="7330"/>
      <c r="AQ21" s="7330"/>
      <c r="AR21" s="7330"/>
      <c r="AS21" s="7330"/>
      <c r="AT21" s="7330"/>
      <c r="AU21" s="7330"/>
      <c r="AV21" s="7330"/>
      <c r="AW21" s="7330"/>
      <c r="AX21" s="7330"/>
      <c r="AY21" s="7330"/>
      <c r="AZ21" s="7330"/>
      <c r="BA21" s="7330"/>
      <c r="BB21" s="7330"/>
      <c r="BC21" s="7330"/>
      <c r="BD21" s="7330"/>
      <c r="BE21" s="7330"/>
      <c r="BF21" s="7330"/>
      <c r="BG21" s="7330"/>
      <c r="BH21" s="7330"/>
      <c r="BI21" s="7330"/>
      <c r="BJ21" s="7330"/>
      <c r="BK21" s="7330"/>
      <c r="BL21" s="7330"/>
      <c r="BM21" s="7330"/>
      <c r="BN21" s="7330"/>
      <c r="BO21" s="7330"/>
      <c r="BP21" s="7330"/>
      <c r="BQ21" s="7330"/>
      <c r="BR21" s="7330"/>
      <c r="BS21" s="7330"/>
      <c r="BT21" s="7330"/>
      <c r="BU21" s="7330"/>
      <c r="BV21" s="7330"/>
      <c r="BW21" s="7330"/>
      <c r="BX21" s="7330"/>
      <c r="BY21" s="7330"/>
      <c r="CG21" s="1847">
        <v>0</v>
      </c>
    </row>
    <row customHeight="1" ht="14.25" hidden="1">
      <c r="AG22" s="2052"/>
      <c r="AH22" s="2052"/>
      <c r="AI22" s="2052"/>
      <c r="AJ22" s="2052"/>
      <c r="AK22" s="1020" t="str">
        <f>AL19&amp;"-"&amp;AN19</f>
        <v>-</v>
      </c>
      <c r="AL22" s="2960"/>
      <c r="AM22" s="2960"/>
      <c r="AN22" s="2960"/>
      <c r="AO22" s="2960"/>
      <c r="AP22" s="7330"/>
      <c r="AQ22" s="7330"/>
      <c r="AR22" s="7330"/>
      <c r="AS22" s="7330"/>
      <c r="AT22" s="7330"/>
      <c r="AU22" s="7330"/>
      <c r="AV22" s="7330"/>
      <c r="AW22" s="7330"/>
      <c r="AX22" s="7330"/>
      <c r="AY22" s="7330"/>
      <c r="AZ22" s="7330"/>
      <c r="BA22" s="7330"/>
      <c r="BB22" s="7330"/>
      <c r="BC22" s="7330"/>
      <c r="BD22" s="7330"/>
      <c r="BE22" s="7330"/>
      <c r="BF22" s="7330"/>
      <c r="BG22" s="7330"/>
      <c r="BH22" s="7330"/>
      <c r="BI22" s="7330"/>
      <c r="BJ22" s="7330"/>
      <c r="BK22" s="7330"/>
      <c r="BL22" s="7330"/>
      <c r="BM22" s="7330"/>
      <c r="BN22" s="7330"/>
      <c r="BO22" s="7330"/>
      <c r="BP22" s="7330"/>
      <c r="BQ22" s="7330"/>
      <c r="BR22" s="7330"/>
      <c r="BS22" s="7330"/>
      <c r="BT22" s="7330"/>
      <c r="BU22" s="7330"/>
      <c r="BV22" s="7330"/>
      <c r="BW22" s="7330"/>
      <c r="BX22" s="7330"/>
      <c r="BY22" s="7330"/>
      <c r="CG22" s="1847">
        <v>0</v>
      </c>
    </row>
    <row customHeight="1" ht="14.25" hidden="1">
      <c r="AO23" s="1019"/>
      <c r="AP23" s="7330"/>
      <c r="AQ23" s="7330"/>
      <c r="AR23" s="7330"/>
      <c r="AS23" s="7330"/>
      <c r="AT23" s="7330"/>
      <c r="AU23" s="7330"/>
      <c r="AV23" s="7330"/>
      <c r="AW23" s="7330"/>
      <c r="AX23" s="7330"/>
      <c r="AY23" s="7330"/>
      <c r="AZ23" s="7330"/>
      <c r="BA23" s="7330"/>
      <c r="BB23" s="7330"/>
      <c r="BC23" s="7330"/>
      <c r="BD23" s="7330"/>
      <c r="BE23" s="7330"/>
      <c r="BF23" s="7330"/>
      <c r="BG23" s="7330"/>
      <c r="BH23" s="7330"/>
      <c r="BI23" s="7330"/>
      <c r="BJ23" s="7330"/>
      <c r="BK23" s="7330"/>
      <c r="BL23" s="7330"/>
      <c r="BM23" s="7330"/>
      <c r="BN23" s="7330"/>
      <c r="BO23" s="7330"/>
      <c r="BP23" s="7330"/>
      <c r="BQ23" s="7330"/>
      <c r="BR23" s="7330"/>
      <c r="BS23" s="7330"/>
      <c r="BT23" s="7330"/>
      <c r="BU23" s="7330"/>
      <c r="BV23" s="7330"/>
      <c r="BW23" s="7330"/>
      <c r="BX23" s="7330"/>
      <c r="BY23" s="7330"/>
      <c r="CG23" s="1847">
        <v>0</v>
      </c>
    </row>
    <row s="62148" customFormat="1" customHeight="1" ht="22.5" hidden="1">
      <c r="A24" s="1847"/>
      <c r="B24" s="1847"/>
      <c r="C24" s="1847"/>
      <c r="D24" s="1847"/>
      <c r="E24" s="1847"/>
      <c r="F24" s="1847"/>
      <c r="G24" s="1847"/>
      <c r="H24" s="1847"/>
      <c r="I24" s="1847"/>
      <c r="J24" s="1847"/>
      <c r="K24" s="1847"/>
      <c r="L24" s="1847"/>
      <c r="M24" s="2019"/>
      <c r="N24" s="2020"/>
      <c r="O24" s="2020"/>
      <c r="P24" s="2037" t="s">
        <v>489</v>
      </c>
      <c r="Q24" s="2054"/>
      <c r="R24" s="2063"/>
      <c r="S24" s="2063"/>
      <c r="T24" s="2063"/>
      <c r="U24" s="1421"/>
      <c r="AC24" s="2059"/>
      <c r="AE24" s="2059"/>
      <c r="AF24" s="2058"/>
      <c r="AL24" s="2059"/>
      <c r="AN24" s="2059"/>
      <c r="AO24" s="2058"/>
      <c r="AP24" s="7425"/>
      <c r="AQ24" s="7425"/>
      <c r="AR24" s="7425"/>
      <c r="AS24" s="7425"/>
      <c r="AT24" s="7425"/>
      <c r="AU24" s="7426"/>
      <c r="AV24" s="7425"/>
      <c r="AW24" s="7426"/>
      <c r="AX24" s="7425"/>
      <c r="AY24" s="7425"/>
      <c r="AZ24" s="7425"/>
      <c r="BA24" s="7425"/>
      <c r="BB24" s="7425"/>
      <c r="BC24" s="7425"/>
      <c r="BD24" s="7426"/>
      <c r="BE24" s="7425"/>
      <c r="BF24" s="7426"/>
      <c r="BG24" s="7425"/>
      <c r="BH24" s="7425"/>
      <c r="BI24" s="7425"/>
      <c r="BJ24" s="7425"/>
      <c r="BK24" s="7425"/>
      <c r="BL24" s="7425"/>
      <c r="BM24" s="7426"/>
      <c r="BN24" s="7425"/>
      <c r="BO24" s="7426"/>
      <c r="BP24" s="7425"/>
      <c r="BQ24" s="7425"/>
      <c r="BR24" s="7425"/>
      <c r="BS24" s="7425"/>
      <c r="BT24" s="7425"/>
      <c r="BU24" s="7425"/>
      <c r="BV24" s="7426"/>
      <c r="BW24" s="7425"/>
      <c r="BX24" s="7426"/>
      <c r="BY24" s="7425"/>
      <c r="CB24" s="1203"/>
      <c r="CC24" s="1203"/>
      <c r="CD24" s="1203"/>
      <c r="CE24" s="1203"/>
      <c r="CF24" s="1203"/>
      <c r="CG24" s="1852">
        <v>0</v>
      </c>
    </row>
    <row s="62148" customFormat="1" customHeight="1" ht="14.25" hidden="1">
      <c r="A25" s="1847"/>
      <c r="B25" s="1847"/>
      <c r="C25" s="1847"/>
      <c r="D25" s="1847"/>
      <c r="E25" s="1847"/>
      <c r="F25" s="1847"/>
      <c r="G25" s="1847"/>
      <c r="H25" s="1847"/>
      <c r="I25" s="1847"/>
      <c r="J25" s="1847"/>
      <c r="K25" s="1847"/>
      <c r="L25" s="1847"/>
      <c r="M25" s="2019"/>
      <c r="N25" s="2020"/>
      <c r="O25" s="2020"/>
      <c r="P25" s="2020"/>
      <c r="Q25" s="2054"/>
      <c r="R25" s="2063"/>
      <c r="S25" s="2063"/>
      <c r="T25" s="2063"/>
      <c r="U25" s="1421"/>
      <c r="AF25" s="2058"/>
      <c r="AO25" s="2058"/>
      <c r="AP25" s="7425"/>
      <c r="AQ25" s="7425"/>
      <c r="AR25" s="7425"/>
      <c r="AS25" s="7425"/>
      <c r="AT25" s="7425"/>
      <c r="AU25" s="7425"/>
      <c r="AV25" s="7425"/>
      <c r="AW25" s="7425"/>
      <c r="AX25" s="7425"/>
      <c r="AY25" s="7425"/>
      <c r="AZ25" s="7425"/>
      <c r="BA25" s="7425"/>
      <c r="BB25" s="7425"/>
      <c r="BC25" s="7425"/>
      <c r="BD25" s="7425"/>
      <c r="BE25" s="7425"/>
      <c r="BF25" s="7425"/>
      <c r="BG25" s="7425"/>
      <c r="BH25" s="7425"/>
      <c r="BI25" s="7425"/>
      <c r="BJ25" s="7425"/>
      <c r="BK25" s="7425"/>
      <c r="BL25" s="7425"/>
      <c r="BM25" s="7425"/>
      <c r="BN25" s="7425"/>
      <c r="BO25" s="7425"/>
      <c r="BP25" s="7425"/>
      <c r="BQ25" s="7425"/>
      <c r="BR25" s="7425"/>
      <c r="BS25" s="7425"/>
      <c r="BT25" s="7425"/>
      <c r="BU25" s="7425"/>
      <c r="BV25" s="7425"/>
      <c r="BW25" s="7425"/>
      <c r="BX25" s="7425"/>
      <c r="BY25" s="7425"/>
      <c r="CB25" s="1203"/>
      <c r="CC25" s="1203"/>
      <c r="CD25" s="1203"/>
      <c r="CE25" s="1203"/>
      <c r="CF25" s="1203"/>
      <c r="CG25" s="1852">
        <v>0</v>
      </c>
    </row>
    <row s="62148" customFormat="1" customHeight="1" ht="14.25" hidden="1">
      <c r="A26" s="1847"/>
      <c r="B26" s="1847"/>
      <c r="C26" s="1847"/>
      <c r="D26" s="1847"/>
      <c r="E26" s="1847"/>
      <c r="F26" s="1847"/>
      <c r="G26" s="1847"/>
      <c r="H26" s="1847"/>
      <c r="I26" s="1847"/>
      <c r="J26" s="1847"/>
      <c r="K26" s="1847"/>
      <c r="L26" s="1847"/>
      <c r="M26" s="2019"/>
      <c r="N26" s="2020"/>
      <c r="O26" s="2020"/>
      <c r="P26" s="2002" t="s">
        <v>490</v>
      </c>
      <c r="Q26" s="2054"/>
      <c r="R26" s="2063"/>
      <c r="S26" s="2063"/>
      <c r="T26" s="2063"/>
      <c r="U26" s="1421"/>
      <c r="V26" s="1852" t="s">
        <v>491</v>
      </c>
      <c r="AD26" s="878" t="s">
        <v>492</v>
      </c>
      <c r="AF26" s="878" t="s">
        <v>493</v>
      </c>
      <c r="AG26" s="1852" t="s">
        <v>491</v>
      </c>
      <c r="AM26" s="878" t="s">
        <v>494</v>
      </c>
      <c r="AO26" s="878" t="s">
        <v>493</v>
      </c>
      <c r="AP26" s="7425"/>
      <c r="AQ26" s="7425"/>
      <c r="AR26" s="7425"/>
      <c r="AS26" s="7425"/>
      <c r="AT26" s="7425"/>
      <c r="AU26" s="7425"/>
      <c r="AV26" s="7427" t="s">
        <v>492</v>
      </c>
      <c r="AW26" s="7425"/>
      <c r="AX26" s="7427" t="s">
        <v>493</v>
      </c>
      <c r="AY26" s="7425"/>
      <c r="AZ26" s="7425"/>
      <c r="BA26" s="7425"/>
      <c r="BB26" s="7425"/>
      <c r="BC26" s="7425"/>
      <c r="BD26" s="7425"/>
      <c r="BE26" s="7427" t="s">
        <v>492</v>
      </c>
      <c r="BF26" s="7425"/>
      <c r="BG26" s="7427" t="s">
        <v>493</v>
      </c>
      <c r="BH26" s="7425"/>
      <c r="BI26" s="7425"/>
      <c r="BJ26" s="7425"/>
      <c r="BK26" s="7425"/>
      <c r="BL26" s="7425"/>
      <c r="BM26" s="7425"/>
      <c r="BN26" s="7427" t="s">
        <v>492</v>
      </c>
      <c r="BO26" s="7425"/>
      <c r="BP26" s="7427" t="s">
        <v>493</v>
      </c>
      <c r="BQ26" s="7425"/>
      <c r="BR26" s="7425"/>
      <c r="BS26" s="7425"/>
      <c r="BT26" s="7425"/>
      <c r="BU26" s="7425"/>
      <c r="BV26" s="7425"/>
      <c r="BW26" s="7427" t="s">
        <v>492</v>
      </c>
      <c r="BX26" s="7425"/>
      <c r="BY26" s="7427" t="s">
        <v>493</v>
      </c>
      <c r="CB26" s="1203"/>
      <c r="CC26" s="1203"/>
      <c r="CD26" s="1203"/>
      <c r="CE26" s="1203"/>
      <c r="CF26" s="1203"/>
      <c r="CG26" s="1852">
        <v>0</v>
      </c>
    </row>
    <row customHeight="1" ht="14.25" hidden="1">
      <c r="P27" s="2002"/>
      <c r="AP27" s="7330"/>
      <c r="AQ27" s="7330"/>
      <c r="AR27" s="7330"/>
      <c r="AS27" s="7330"/>
      <c r="AT27" s="7330"/>
      <c r="AU27" s="7330"/>
      <c r="AV27" s="7330"/>
      <c r="AW27" s="7330"/>
      <c r="AX27" s="7330"/>
      <c r="AY27" s="7330"/>
      <c r="AZ27" s="7330"/>
      <c r="BA27" s="7330"/>
      <c r="BB27" s="7330"/>
      <c r="BC27" s="7330"/>
      <c r="BD27" s="7330"/>
      <c r="BE27" s="7330"/>
      <c r="BF27" s="7330"/>
      <c r="BG27" s="7330"/>
      <c r="BH27" s="7330"/>
      <c r="BI27" s="7330"/>
      <c r="BJ27" s="7330"/>
      <c r="BK27" s="7330"/>
      <c r="BL27" s="7330"/>
      <c r="BM27" s="7330"/>
      <c r="BN27" s="7330"/>
      <c r="BO27" s="7330"/>
      <c r="BP27" s="7330"/>
      <c r="BQ27" s="7330"/>
      <c r="BR27" s="7330"/>
      <c r="BS27" s="7330"/>
      <c r="BT27" s="7330"/>
      <c r="BU27" s="7330"/>
      <c r="BV27" s="7330"/>
      <c r="BW27" s="7330"/>
      <c r="BX27" s="7330"/>
      <c r="BY27" s="7330"/>
      <c r="CG27" s="1847">
        <v>0</v>
      </c>
    </row>
    <row customHeight="1" ht="14.25" hidden="1">
      <c r="P28" s="2002"/>
      <c r="AP28" s="7330"/>
      <c r="AQ28" s="7330"/>
      <c r="AR28" s="7330"/>
      <c r="AS28" s="7330"/>
      <c r="AT28" s="7330"/>
      <c r="AU28" s="7330"/>
      <c r="AV28" s="7330"/>
      <c r="AW28" s="7330"/>
      <c r="AX28" s="7330"/>
      <c r="AY28" s="7330"/>
      <c r="AZ28" s="7330"/>
      <c r="BA28" s="7330"/>
      <c r="BB28" s="7330"/>
      <c r="BC28" s="7330"/>
      <c r="BD28" s="7330"/>
      <c r="BE28" s="7330"/>
      <c r="BF28" s="7330"/>
      <c r="BG28" s="7330"/>
      <c r="BH28" s="7330"/>
      <c r="BI28" s="7330"/>
      <c r="BJ28" s="7330"/>
      <c r="BK28" s="7330"/>
      <c r="BL28" s="7330"/>
      <c r="BM28" s="7330"/>
      <c r="BN28" s="7330"/>
      <c r="BO28" s="7330"/>
      <c r="BP28" s="7330"/>
      <c r="BQ28" s="7330"/>
      <c r="BR28" s="7330"/>
      <c r="BS28" s="7330"/>
      <c r="BT28" s="7330"/>
      <c r="BU28" s="7330"/>
      <c r="BV28" s="7330"/>
      <c r="BW28" s="7330"/>
      <c r="BX28" s="7330"/>
      <c r="BY28" s="7330"/>
      <c r="CG28" s="1847">
        <v>0</v>
      </c>
    </row>
    <row customHeight="1" ht="14.699999999999998">
      <c r="R29" s="1068"/>
      <c r="S29" s="1068"/>
      <c r="T29" s="1068"/>
      <c r="U29" s="1967"/>
      <c r="V29" s="1055"/>
      <c r="W29" s="1055"/>
      <c r="X29" s="1201"/>
      <c r="Y29" s="1201"/>
      <c r="Z29" s="1201"/>
      <c r="AA29" s="1201"/>
      <c r="AB29" s="1201"/>
      <c r="AC29" s="1201"/>
      <c r="AD29" s="1201"/>
      <c r="AE29" s="1201"/>
      <c r="AF29" s="1201"/>
      <c r="AG29" s="1201"/>
      <c r="AH29" s="1201"/>
      <c r="AI29" s="1201"/>
      <c r="AJ29" s="1201"/>
      <c r="AK29" s="1201"/>
      <c r="AL29" s="1201"/>
      <c r="AM29" s="1201"/>
      <c r="AN29" s="1201"/>
      <c r="AO29" s="1201"/>
      <c r="AP29" s="7330"/>
      <c r="AQ29" s="7330"/>
      <c r="AR29" s="7330"/>
      <c r="AS29" s="7330"/>
      <c r="AT29" s="7330"/>
      <c r="AU29" s="7330"/>
      <c r="AV29" s="7330"/>
      <c r="AW29" s="7330"/>
      <c r="AX29" s="7330"/>
      <c r="AY29" s="7330"/>
      <c r="AZ29" s="7330"/>
      <c r="BA29" s="7330"/>
      <c r="BB29" s="7330"/>
      <c r="BC29" s="7330"/>
      <c r="BD29" s="7330"/>
      <c r="BE29" s="7330"/>
      <c r="BF29" s="7330"/>
      <c r="BG29" s="7330"/>
      <c r="BH29" s="7330"/>
      <c r="BI29" s="7330"/>
      <c r="BJ29" s="7330"/>
      <c r="BK29" s="7330"/>
      <c r="BL29" s="7330"/>
      <c r="BM29" s="7330"/>
      <c r="BN29" s="7330"/>
      <c r="BO29" s="7330"/>
      <c r="BP29" s="7330"/>
      <c r="BQ29" s="7330"/>
      <c r="BR29" s="7330"/>
      <c r="BS29" s="7330"/>
      <c r="BT29" s="7330"/>
      <c r="BU29" s="7330"/>
      <c r="BV29" s="7330"/>
      <c r="BW29" s="7330"/>
      <c r="BX29" s="7330"/>
      <c r="BY29" s="7330"/>
      <c r="CG29" s="1847">
        <v>14</v>
      </c>
    </row>
    <row customHeight="1" ht="56.699999999999996">
      <c r="R30" s="1068"/>
      <c r="S30" s="1068"/>
      <c r="T30" s="1068"/>
      <c r="U30" s="294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40"/>
      <c r="W30" s="2940"/>
      <c r="X30" s="2940"/>
      <c r="Y30" s="2940"/>
      <c r="Z30" s="2940"/>
      <c r="AA30" s="2940"/>
      <c r="AB30" s="2940"/>
      <c r="AC30" s="2940"/>
      <c r="AD30" s="2940"/>
      <c r="AE30" s="2940"/>
      <c r="AF30" s="2940"/>
      <c r="AG30" s="2940"/>
      <c r="AH30" s="2940"/>
      <c r="AI30" s="2940"/>
      <c r="AJ30" s="2940"/>
      <c r="AK30" s="2940"/>
      <c r="AL30" s="2940"/>
      <c r="AM30" s="2940"/>
      <c r="AN30" s="2940"/>
      <c r="AO30" s="1935"/>
      <c r="AP30" s="7428"/>
      <c r="AQ30" s="7428"/>
      <c r="AR30" s="7428"/>
      <c r="AS30" s="7428"/>
      <c r="AT30" s="7428"/>
      <c r="AU30" s="7428"/>
      <c r="AV30" s="7428"/>
      <c r="AW30" s="7428"/>
      <c r="AX30" s="7428"/>
      <c r="AY30" s="7428"/>
      <c r="AZ30" s="7428"/>
      <c r="BA30" s="7428"/>
      <c r="BB30" s="7428"/>
      <c r="BC30" s="7428"/>
      <c r="BD30" s="7428"/>
      <c r="BE30" s="7428"/>
      <c r="BF30" s="7428"/>
      <c r="BG30" s="7428"/>
      <c r="BH30" s="7428"/>
      <c r="BI30" s="7428"/>
      <c r="BJ30" s="7428"/>
      <c r="BK30" s="7428"/>
      <c r="BL30" s="7428"/>
      <c r="BM30" s="7428"/>
      <c r="BN30" s="7428"/>
      <c r="BO30" s="7428"/>
      <c r="BP30" s="7428"/>
      <c r="BQ30" s="7428"/>
      <c r="BR30" s="7428"/>
      <c r="BS30" s="7428"/>
      <c r="BT30" s="7428"/>
      <c r="BU30" s="7428"/>
      <c r="BV30" s="7428"/>
      <c r="BW30" s="7428"/>
      <c r="BX30" s="7428"/>
      <c r="BY30" s="7428"/>
      <c r="CG30" s="1847">
        <v>54</v>
      </c>
    </row>
    <row customHeight="1" ht="14.699999999999998">
      <c r="R31" s="1068"/>
      <c r="S31" s="1068"/>
      <c r="T31" s="1068"/>
      <c r="U31" s="2941" t="str">
        <f>IF(org=0,"Не определено",org)</f>
        <v>АО "ДГК"</v>
      </c>
      <c r="V31" s="2941"/>
      <c r="W31" s="2941"/>
      <c r="X31" s="2941"/>
      <c r="Y31" s="2941"/>
      <c r="Z31" s="2941"/>
      <c r="AA31" s="2941"/>
      <c r="AB31" s="2941"/>
      <c r="AC31" s="2941"/>
      <c r="AD31" s="2941"/>
      <c r="AE31" s="2941"/>
      <c r="AF31" s="2941"/>
      <c r="AG31" s="2941"/>
      <c r="AH31" s="2941"/>
      <c r="AI31" s="2941"/>
      <c r="AJ31" s="2941"/>
      <c r="AK31" s="2941"/>
      <c r="AL31" s="2941"/>
      <c r="AM31" s="2941"/>
      <c r="AN31" s="2941"/>
      <c r="AO31" s="1935"/>
      <c r="AP31" s="7429"/>
      <c r="AQ31" s="7429"/>
      <c r="AR31" s="7429"/>
      <c r="AS31" s="7429"/>
      <c r="AT31" s="7429"/>
      <c r="AU31" s="7429"/>
      <c r="AV31" s="7429"/>
      <c r="AW31" s="7429"/>
      <c r="AX31" s="7429"/>
      <c r="AY31" s="7429"/>
      <c r="AZ31" s="7429"/>
      <c r="BA31" s="7429"/>
      <c r="BB31" s="7429"/>
      <c r="BC31" s="7429"/>
      <c r="BD31" s="7429"/>
      <c r="BE31" s="7429"/>
      <c r="BF31" s="7429"/>
      <c r="BG31" s="7429"/>
      <c r="BH31" s="7429"/>
      <c r="BI31" s="7429"/>
      <c r="BJ31" s="7429"/>
      <c r="BK31" s="7429"/>
      <c r="BL31" s="7429"/>
      <c r="BM31" s="7429"/>
      <c r="BN31" s="7429"/>
      <c r="BO31" s="7429"/>
      <c r="BP31" s="7429"/>
      <c r="BQ31" s="7429"/>
      <c r="BR31" s="7429"/>
      <c r="BS31" s="7429"/>
      <c r="BT31" s="7429"/>
      <c r="BU31" s="7429"/>
      <c r="BV31" s="7429"/>
      <c r="BW31" s="7429"/>
      <c r="BX31" s="7429"/>
      <c r="BY31" s="7429"/>
      <c r="CG31" s="1847">
        <v>14</v>
      </c>
    </row>
    <row customHeight="1" ht="14.25" hidden="1">
      <c r="R32" s="1068"/>
      <c r="S32" s="1068"/>
      <c r="T32" s="1068"/>
      <c r="U32" s="1967"/>
      <c r="V32" s="1055"/>
      <c r="W32" s="1055"/>
      <c r="X32" s="1014"/>
      <c r="Y32" s="1014"/>
      <c r="Z32" s="1014"/>
      <c r="AA32" s="1014"/>
      <c r="AB32" s="1014"/>
      <c r="AC32" s="1014"/>
      <c r="AD32" s="1014"/>
      <c r="AE32" s="1014"/>
      <c r="AF32" s="1014"/>
      <c r="AG32" s="1014"/>
      <c r="AH32" s="1014"/>
      <c r="AI32" s="1014"/>
      <c r="AJ32" s="1014"/>
      <c r="AK32" s="1014"/>
      <c r="AL32" s="1014"/>
      <c r="AM32" s="1014"/>
      <c r="AN32" s="1014"/>
      <c r="AO32" s="1014"/>
      <c r="AP32" s="7430"/>
      <c r="AQ32" s="7430"/>
      <c r="AR32" s="7430"/>
      <c r="AS32" s="7430"/>
      <c r="AT32" s="7430"/>
      <c r="AU32" s="7430"/>
      <c r="AV32" s="7430"/>
      <c r="AW32" s="7430"/>
      <c r="AX32" s="7430"/>
      <c r="AY32" s="7430"/>
      <c r="AZ32" s="7430"/>
      <c r="BA32" s="7430"/>
      <c r="BB32" s="7430"/>
      <c r="BC32" s="7430"/>
      <c r="BD32" s="7430"/>
      <c r="BE32" s="7430"/>
      <c r="BF32" s="7430"/>
      <c r="BG32" s="7430"/>
      <c r="BH32" s="7430"/>
      <c r="BI32" s="7430"/>
      <c r="BJ32" s="7430"/>
      <c r="BK32" s="7430"/>
      <c r="BL32" s="7430"/>
      <c r="BM32" s="7430"/>
      <c r="BN32" s="7430"/>
      <c r="BO32" s="7430"/>
      <c r="BP32" s="7430"/>
      <c r="BQ32" s="7430"/>
      <c r="BR32" s="7430"/>
      <c r="BS32" s="7430"/>
      <c r="BT32" s="7430"/>
      <c r="BU32" s="7430"/>
      <c r="BV32" s="7430"/>
      <c r="BW32" s="7430"/>
      <c r="BX32" s="7430"/>
      <c r="BY32" s="7430"/>
      <c r="BZ32" s="1201"/>
      <c r="CG32" s="1847">
        <v>0</v>
      </c>
    </row>
    <row s="63055" customFormat="1" customHeight="1" ht="25.5" hidden="1">
      <c r="A33" s="1940"/>
      <c r="B33" s="1940"/>
      <c r="C33" s="1940"/>
      <c r="D33" s="1940"/>
      <c r="E33" s="1940"/>
      <c r="F33" s="1940"/>
      <c r="G33" s="1940"/>
      <c r="H33" s="1940"/>
      <c r="I33" s="1940"/>
      <c r="J33" s="1940"/>
      <c r="K33" s="1940"/>
      <c r="L33" s="1940"/>
      <c r="M33" s="2072"/>
      <c r="N33" s="1940"/>
      <c r="O33" s="1940"/>
      <c r="P33" s="1940"/>
      <c r="U33" s="2942" t="s">
        <v>42</v>
      </c>
      <c r="V33" s="2942"/>
      <c r="W33" s="2064"/>
      <c r="X33" s="2943" t="str">
        <f>IF(TITLE_NAME_OR_PR_CHANGE="",IF(TITLE_NAME_OR_PR="","",TITLE_NAME_OR_PR),TITLE_NAME_OR_PR_CHANGE)</f>
        <v/>
      </c>
      <c r="Y33" s="2943"/>
      <c r="Z33" s="2943"/>
      <c r="AA33" s="2943"/>
      <c r="AB33" s="2943"/>
      <c r="AC33" s="2943"/>
      <c r="AD33" s="2943"/>
      <c r="AE33" s="2943"/>
      <c r="AF33" s="1018"/>
      <c r="AG33" s="2943" t="str">
        <f>IF(TITLE_NAME_OR_PR_CHANGE="",IF(TITLE_NAME_OR_PR="","",TITLE_NAME_OR_PR),TITLE_NAME_OR_PR_CHANGE)</f>
        <v/>
      </c>
      <c r="AH33" s="2943"/>
      <c r="AI33" s="2943"/>
      <c r="AJ33" s="2943"/>
      <c r="AK33" s="2943"/>
      <c r="AL33" s="2943"/>
      <c r="AM33" s="2943"/>
      <c r="AN33" s="2943"/>
      <c r="AO33" s="1018"/>
      <c r="AP33" s="7431" t="str">
        <f>IF(TITLE_NAME_OR_PR_CHANGE="",IF(TITLE_NAME_OR_PR="","",TITLE_NAME_OR_PR),TITLE_NAME_OR_PR_CHANGE)</f>
        <v/>
      </c>
      <c r="AQ33" s="7431"/>
      <c r="AR33" s="7431"/>
      <c r="AS33" s="7431"/>
      <c r="AT33" s="7431"/>
      <c r="AU33" s="7431"/>
      <c r="AV33" s="7431"/>
      <c r="AW33" s="7431"/>
      <c r="AX33" s="7330"/>
      <c r="AY33" s="7431" t="str">
        <f>IF(TITLE_NAME_OR_PR_CHANGE="",IF(TITLE_NAME_OR_PR="","",TITLE_NAME_OR_PR),TITLE_NAME_OR_PR_CHANGE)</f>
        <v/>
      </c>
      <c r="AZ33" s="7431"/>
      <c r="BA33" s="7431"/>
      <c r="BB33" s="7431"/>
      <c r="BC33" s="7431"/>
      <c r="BD33" s="7431"/>
      <c r="BE33" s="7431"/>
      <c r="BF33" s="7431"/>
      <c r="BG33" s="7330"/>
      <c r="BH33" s="7431" t="str">
        <f>IF(TITLE_NAME_OR_PR_CHANGE="",IF(TITLE_NAME_OR_PR="","",TITLE_NAME_OR_PR),TITLE_NAME_OR_PR_CHANGE)</f>
        <v/>
      </c>
      <c r="BI33" s="7431"/>
      <c r="BJ33" s="7431"/>
      <c r="BK33" s="7431"/>
      <c r="BL33" s="7431"/>
      <c r="BM33" s="7431"/>
      <c r="BN33" s="7431"/>
      <c r="BO33" s="7431"/>
      <c r="BP33" s="7330"/>
      <c r="BQ33" s="7431" t="str">
        <f>IF(TITLE_NAME_OR_PR_CHANGE="",IF(TITLE_NAME_OR_PR="","",TITLE_NAME_OR_PR),TITLE_NAME_OR_PR_CHANGE)</f>
        <v/>
      </c>
      <c r="BR33" s="7431"/>
      <c r="BS33" s="7431"/>
      <c r="BT33" s="7431"/>
      <c r="BU33" s="7431"/>
      <c r="BV33" s="7431"/>
      <c r="BW33" s="7431"/>
      <c r="BX33" s="7431"/>
      <c r="BY33" s="7330"/>
      <c r="BZ33" s="1018"/>
      <c r="CA33" s="972"/>
      <c r="CB33" s="1060"/>
      <c r="CC33" s="1060"/>
      <c r="CD33" s="1060"/>
      <c r="CE33" s="1060"/>
      <c r="CF33" s="1060"/>
      <c r="CG33" s="1110">
        <v>0</v>
      </c>
    </row>
    <row s="63055" customFormat="1" customHeight="1" ht="18.75" hidden="1">
      <c r="A34" s="1940"/>
      <c r="B34" s="1940"/>
      <c r="C34" s="1940"/>
      <c r="D34" s="1940"/>
      <c r="E34" s="1940"/>
      <c r="F34" s="1940"/>
      <c r="G34" s="1940"/>
      <c r="H34" s="1940"/>
      <c r="I34" s="1940"/>
      <c r="J34" s="1940"/>
      <c r="K34" s="1940"/>
      <c r="L34" s="1940"/>
      <c r="M34" s="2072"/>
      <c r="N34" s="1940"/>
      <c r="O34" s="1940"/>
      <c r="P34" s="1940"/>
      <c r="U34" s="2942" t="s">
        <v>495</v>
      </c>
      <c r="V34" s="2942"/>
      <c r="W34" s="2064"/>
      <c r="X34" s="2956" t="str">
        <f>IF(TITLE_DATE_PR_CHANGE="",IF(TITLE_DATE_PR="","",TITLE_DATE_PR),TITLE_DATE_PR_CHANGE)</f>
        <v>45981</v>
      </c>
      <c r="Y34" s="2956"/>
      <c r="Z34" s="2956"/>
      <c r="AA34" s="2956"/>
      <c r="AB34" s="2956"/>
      <c r="AC34" s="2956"/>
      <c r="AD34" s="2956"/>
      <c r="AE34" s="2956"/>
      <c r="AF34" s="1018"/>
      <c r="AG34" s="2956" t="str">
        <f>IF(TITLE_DATE_PR_CHANGE="",IF(TITLE_DATE_PR="","",TITLE_DATE_PR),TITLE_DATE_PR_CHANGE)</f>
        <v>45981</v>
      </c>
      <c r="AH34" s="2956"/>
      <c r="AI34" s="2956"/>
      <c r="AJ34" s="2956"/>
      <c r="AK34" s="2956"/>
      <c r="AL34" s="2956"/>
      <c r="AM34" s="2956"/>
      <c r="AN34" s="2956"/>
      <c r="AO34" s="1018"/>
      <c r="AP34" s="7432" t="str">
        <f>IF(TITLE_DATE_PR_CHANGE="",IF(TITLE_DATE_PR="","",TITLE_DATE_PR),TITLE_DATE_PR_CHANGE)</f>
        <v>45981</v>
      </c>
      <c r="AQ34" s="7432"/>
      <c r="AR34" s="7432"/>
      <c r="AS34" s="7432"/>
      <c r="AT34" s="7432"/>
      <c r="AU34" s="7432"/>
      <c r="AV34" s="7432"/>
      <c r="AW34" s="7432"/>
      <c r="AX34" s="7330"/>
      <c r="AY34" s="7432" t="str">
        <f>IF(TITLE_DATE_PR_CHANGE="",IF(TITLE_DATE_PR="","",TITLE_DATE_PR),TITLE_DATE_PR_CHANGE)</f>
        <v>45981</v>
      </c>
      <c r="AZ34" s="7432"/>
      <c r="BA34" s="7432"/>
      <c r="BB34" s="7432"/>
      <c r="BC34" s="7432"/>
      <c r="BD34" s="7432"/>
      <c r="BE34" s="7432"/>
      <c r="BF34" s="7432"/>
      <c r="BG34" s="7330"/>
      <c r="BH34" s="7432" t="str">
        <f>IF(TITLE_DATE_PR_CHANGE="",IF(TITLE_DATE_PR="","",TITLE_DATE_PR),TITLE_DATE_PR_CHANGE)</f>
        <v>45981</v>
      </c>
      <c r="BI34" s="7432"/>
      <c r="BJ34" s="7432"/>
      <c r="BK34" s="7432"/>
      <c r="BL34" s="7432"/>
      <c r="BM34" s="7432"/>
      <c r="BN34" s="7432"/>
      <c r="BO34" s="7432"/>
      <c r="BP34" s="7330"/>
      <c r="BQ34" s="7432" t="str">
        <f>IF(TITLE_DATE_PR_CHANGE="",IF(TITLE_DATE_PR="","",TITLE_DATE_PR),TITLE_DATE_PR_CHANGE)</f>
        <v>45981</v>
      </c>
      <c r="BR34" s="7432"/>
      <c r="BS34" s="7432"/>
      <c r="BT34" s="7432"/>
      <c r="BU34" s="7432"/>
      <c r="BV34" s="7432"/>
      <c r="BW34" s="7432"/>
      <c r="BX34" s="7432"/>
      <c r="BY34" s="7330"/>
      <c r="BZ34" s="1018"/>
      <c r="CA34" s="972"/>
      <c r="CB34" s="1060"/>
      <c r="CC34" s="1060"/>
      <c r="CD34" s="1060"/>
      <c r="CE34" s="1060"/>
      <c r="CF34" s="1060"/>
      <c r="CG34" s="1110">
        <v>0</v>
      </c>
    </row>
    <row s="63055" customFormat="1" customHeight="1" ht="18.75" hidden="1">
      <c r="A35" s="1940"/>
      <c r="B35" s="1940"/>
      <c r="C35" s="1940"/>
      <c r="D35" s="1940"/>
      <c r="E35" s="1940"/>
      <c r="F35" s="1940"/>
      <c r="G35" s="1940"/>
      <c r="H35" s="1940"/>
      <c r="I35" s="1940"/>
      <c r="J35" s="1940"/>
      <c r="K35" s="1940"/>
      <c r="L35" s="1940"/>
      <c r="M35" s="2072"/>
      <c r="N35" s="1940"/>
      <c r="O35" s="1940"/>
      <c r="P35" s="1940"/>
      <c r="U35" s="2942" t="s">
        <v>496</v>
      </c>
      <c r="V35" s="2942"/>
      <c r="W35" s="2064"/>
      <c r="X35" s="2943" t="str">
        <f>IF(TITLE_NUMBER_PR_CHANGE="",IF(TITLE_NUMBER_PR="","",TITLE_NUMBER_PR),TITLE_NUMBER_PR_CHANGE)</f>
        <v>Исх-260/1781</v>
      </c>
      <c r="Y35" s="2943"/>
      <c r="Z35" s="2943"/>
      <c r="AA35" s="2943"/>
      <c r="AB35" s="2943"/>
      <c r="AC35" s="2943"/>
      <c r="AD35" s="2943"/>
      <c r="AE35" s="2943"/>
      <c r="AF35" s="1018"/>
      <c r="AG35" s="2943" t="str">
        <f>IF(TITLE_NUMBER_PR_CHANGE="",IF(TITLE_NUMBER_PR="","",TITLE_NUMBER_PR),TITLE_NUMBER_PR_CHANGE)</f>
        <v>Исх-260/1781</v>
      </c>
      <c r="AH35" s="2943"/>
      <c r="AI35" s="2943"/>
      <c r="AJ35" s="2943"/>
      <c r="AK35" s="2943"/>
      <c r="AL35" s="2943"/>
      <c r="AM35" s="2943"/>
      <c r="AN35" s="2943"/>
      <c r="AO35" s="1018"/>
      <c r="AP35" s="7431" t="str">
        <f>IF(TITLE_NUMBER_PR_CHANGE="",IF(TITLE_NUMBER_PR="","",TITLE_NUMBER_PR),TITLE_NUMBER_PR_CHANGE)</f>
        <v>Исх-260/1781</v>
      </c>
      <c r="AQ35" s="7431"/>
      <c r="AR35" s="7431"/>
      <c r="AS35" s="7431"/>
      <c r="AT35" s="7431"/>
      <c r="AU35" s="7431"/>
      <c r="AV35" s="7431"/>
      <c r="AW35" s="7431"/>
      <c r="AX35" s="7330"/>
      <c r="AY35" s="7431" t="str">
        <f>IF(TITLE_NUMBER_PR_CHANGE="",IF(TITLE_NUMBER_PR="","",TITLE_NUMBER_PR),TITLE_NUMBER_PR_CHANGE)</f>
        <v>Исх-260/1781</v>
      </c>
      <c r="AZ35" s="7431"/>
      <c r="BA35" s="7431"/>
      <c r="BB35" s="7431"/>
      <c r="BC35" s="7431"/>
      <c r="BD35" s="7431"/>
      <c r="BE35" s="7431"/>
      <c r="BF35" s="7431"/>
      <c r="BG35" s="7330"/>
      <c r="BH35" s="7431" t="str">
        <f>IF(TITLE_NUMBER_PR_CHANGE="",IF(TITLE_NUMBER_PR="","",TITLE_NUMBER_PR),TITLE_NUMBER_PR_CHANGE)</f>
        <v>Исх-260/1781</v>
      </c>
      <c r="BI35" s="7431"/>
      <c r="BJ35" s="7431"/>
      <c r="BK35" s="7431"/>
      <c r="BL35" s="7431"/>
      <c r="BM35" s="7431"/>
      <c r="BN35" s="7431"/>
      <c r="BO35" s="7431"/>
      <c r="BP35" s="7330"/>
      <c r="BQ35" s="7431" t="str">
        <f>IF(TITLE_NUMBER_PR_CHANGE="",IF(TITLE_NUMBER_PR="","",TITLE_NUMBER_PR),TITLE_NUMBER_PR_CHANGE)</f>
        <v>Исх-260/1781</v>
      </c>
      <c r="BR35" s="7431"/>
      <c r="BS35" s="7431"/>
      <c r="BT35" s="7431"/>
      <c r="BU35" s="7431"/>
      <c r="BV35" s="7431"/>
      <c r="BW35" s="7431"/>
      <c r="BX35" s="7431"/>
      <c r="BY35" s="7330"/>
      <c r="BZ35" s="1018"/>
      <c r="CA35" s="972"/>
      <c r="CB35" s="1060"/>
      <c r="CC35" s="1060"/>
      <c r="CD35" s="1060"/>
      <c r="CE35" s="1060"/>
      <c r="CF35" s="1060"/>
      <c r="CG35" s="1110">
        <v>0</v>
      </c>
    </row>
    <row s="63055" customFormat="1" customHeight="1" ht="18.75" hidden="1">
      <c r="A36" s="1940"/>
      <c r="B36" s="1940"/>
      <c r="C36" s="1940"/>
      <c r="D36" s="1940"/>
      <c r="E36" s="1940"/>
      <c r="F36" s="1940"/>
      <c r="G36" s="1940"/>
      <c r="H36" s="1940"/>
      <c r="I36" s="1940"/>
      <c r="J36" s="1940"/>
      <c r="K36" s="1940"/>
      <c r="L36" s="1940"/>
      <c r="M36" s="2072"/>
      <c r="N36" s="1940"/>
      <c r="O36" s="1940"/>
      <c r="P36" s="1940"/>
      <c r="U36" s="2942" t="s">
        <v>43</v>
      </c>
      <c r="V36" s="2942"/>
      <c r="W36" s="2064"/>
      <c r="X36" s="2943" t="str">
        <f>IF(TITLE_IST_PUB_CHANGE="",IF(TITLE_IST_PUB="","",TITLE_IST_PUB),TITLE_IST_PUB_CHANGE)</f>
        <v/>
      </c>
      <c r="Y36" s="2943"/>
      <c r="Z36" s="2943"/>
      <c r="AA36" s="2943"/>
      <c r="AB36" s="2943"/>
      <c r="AC36" s="2943"/>
      <c r="AD36" s="2943"/>
      <c r="AE36" s="2943"/>
      <c r="AF36" s="1018"/>
      <c r="AG36" s="2943" t="str">
        <f>IF(TITLE_IST_PUB_CHANGE="",IF(TITLE_IST_PUB="","",TITLE_IST_PUB),TITLE_IST_PUB_CHANGE)</f>
        <v/>
      </c>
      <c r="AH36" s="2943"/>
      <c r="AI36" s="2943"/>
      <c r="AJ36" s="2943"/>
      <c r="AK36" s="2943"/>
      <c r="AL36" s="2943"/>
      <c r="AM36" s="2943"/>
      <c r="AN36" s="2943"/>
      <c r="AO36" s="1018"/>
      <c r="AP36" s="7431" t="str">
        <f>IF(TITLE_IST_PUB_CHANGE="",IF(TITLE_IST_PUB="","",TITLE_IST_PUB),TITLE_IST_PUB_CHANGE)</f>
        <v/>
      </c>
      <c r="AQ36" s="7431"/>
      <c r="AR36" s="7431"/>
      <c r="AS36" s="7431"/>
      <c r="AT36" s="7431"/>
      <c r="AU36" s="7431"/>
      <c r="AV36" s="7431"/>
      <c r="AW36" s="7431"/>
      <c r="AX36" s="7330"/>
      <c r="AY36" s="7431" t="str">
        <f>IF(TITLE_IST_PUB_CHANGE="",IF(TITLE_IST_PUB="","",TITLE_IST_PUB),TITLE_IST_PUB_CHANGE)</f>
        <v/>
      </c>
      <c r="AZ36" s="7431"/>
      <c r="BA36" s="7431"/>
      <c r="BB36" s="7431"/>
      <c r="BC36" s="7431"/>
      <c r="BD36" s="7431"/>
      <c r="BE36" s="7431"/>
      <c r="BF36" s="7431"/>
      <c r="BG36" s="7330"/>
      <c r="BH36" s="7431" t="str">
        <f>IF(TITLE_IST_PUB_CHANGE="",IF(TITLE_IST_PUB="","",TITLE_IST_PUB),TITLE_IST_PUB_CHANGE)</f>
        <v/>
      </c>
      <c r="BI36" s="7431"/>
      <c r="BJ36" s="7431"/>
      <c r="BK36" s="7431"/>
      <c r="BL36" s="7431"/>
      <c r="BM36" s="7431"/>
      <c r="BN36" s="7431"/>
      <c r="BO36" s="7431"/>
      <c r="BP36" s="7330"/>
      <c r="BQ36" s="7431" t="str">
        <f>IF(TITLE_IST_PUB_CHANGE="",IF(TITLE_IST_PUB="","",TITLE_IST_PUB),TITLE_IST_PUB_CHANGE)</f>
        <v/>
      </c>
      <c r="BR36" s="7431"/>
      <c r="BS36" s="7431"/>
      <c r="BT36" s="7431"/>
      <c r="BU36" s="7431"/>
      <c r="BV36" s="7431"/>
      <c r="BW36" s="7431"/>
      <c r="BX36" s="7431"/>
      <c r="BY36" s="7330"/>
      <c r="BZ36" s="1018"/>
      <c r="CA36" s="972"/>
      <c r="CB36" s="1060"/>
      <c r="CC36" s="1060"/>
      <c r="CD36" s="1060"/>
      <c r="CE36" s="1060"/>
      <c r="CF36" s="1060"/>
      <c r="CG36" s="1110">
        <v>0</v>
      </c>
    </row>
    <row customHeight="1" ht="0">
      <c r="R37" s="1068"/>
      <c r="S37" s="1068"/>
      <c r="T37" s="1068"/>
      <c r="U37" s="1967"/>
      <c r="V37" s="1055"/>
      <c r="W37" s="1055"/>
      <c r="X37" s="1014"/>
      <c r="Y37" s="1014"/>
      <c r="Z37" s="1014"/>
      <c r="AA37" s="1014"/>
      <c r="AB37" s="1014"/>
      <c r="AC37" s="1014"/>
      <c r="AD37" s="1014"/>
      <c r="AE37" s="1014"/>
      <c r="AF37" s="1014"/>
      <c r="AG37" s="1014"/>
      <c r="AH37" s="1014"/>
      <c r="AI37" s="1014"/>
      <c r="AJ37" s="1014"/>
      <c r="AK37" s="1014"/>
      <c r="AL37" s="1014"/>
      <c r="AM37" s="1014"/>
      <c r="AN37" s="1014"/>
      <c r="AO37" s="1014"/>
      <c r="AP37" s="7430"/>
      <c r="AQ37" s="7430"/>
      <c r="AR37" s="7430"/>
      <c r="AS37" s="7430"/>
      <c r="AT37" s="7430"/>
      <c r="AU37" s="7430"/>
      <c r="AV37" s="7430"/>
      <c r="AW37" s="7430"/>
      <c r="AX37" s="7430"/>
      <c r="AY37" s="7430"/>
      <c r="AZ37" s="7430"/>
      <c r="BA37" s="7430"/>
      <c r="BB37" s="7430"/>
      <c r="BC37" s="7430"/>
      <c r="BD37" s="7430"/>
      <c r="BE37" s="7430"/>
      <c r="BF37" s="7430"/>
      <c r="BG37" s="7430"/>
      <c r="BH37" s="7430"/>
      <c r="BI37" s="7430"/>
      <c r="BJ37" s="7430"/>
      <c r="BK37" s="7430"/>
      <c r="BL37" s="7430"/>
      <c r="BM37" s="7430"/>
      <c r="BN37" s="7430"/>
      <c r="BO37" s="7430"/>
      <c r="BP37" s="7430"/>
      <c r="BQ37" s="7430"/>
      <c r="BR37" s="7430"/>
      <c r="BS37" s="7430"/>
      <c r="BT37" s="7430"/>
      <c r="BU37" s="7430"/>
      <c r="BV37" s="7430"/>
      <c r="BW37" s="7430"/>
      <c r="BX37" s="7430"/>
      <c r="BY37" s="7430"/>
      <c r="BZ37" s="1201"/>
      <c r="CG37" s="1847">
        <v>0</v>
      </c>
    </row>
    <row s="63055" customFormat="1" customHeight="1" ht="18.75">
      <c r="A38" s="1940"/>
      <c r="B38" s="1940"/>
      <c r="C38" s="1940"/>
      <c r="D38" s="1940"/>
      <c r="E38" s="1940"/>
      <c r="F38" s="1940"/>
      <c r="G38" s="1940"/>
      <c r="H38" s="1940"/>
      <c r="I38" s="1940"/>
      <c r="J38" s="1940"/>
      <c r="K38" s="1940"/>
      <c r="L38" s="1940"/>
      <c r="M38" s="2072"/>
      <c r="N38" s="1940"/>
      <c r="O38" s="1940"/>
      <c r="P38" s="1940"/>
      <c r="U38" s="2942" t="s">
        <v>497</v>
      </c>
      <c r="V38" s="2942"/>
      <c r="W38" s="2064"/>
      <c r="X38" s="2956" t="str">
        <f>IF(TITLE_DATE_PR_CHANGE="",IF(TITLE_DATE_PR="","",TITLE_DATE_PR),TITLE_DATE_PR_CHANGE)</f>
        <v>45981</v>
      </c>
      <c r="Y38" s="2956"/>
      <c r="Z38" s="2956"/>
      <c r="AA38" s="2956"/>
      <c r="AB38" s="2956"/>
      <c r="AC38" s="2956"/>
      <c r="AD38" s="2956"/>
      <c r="AE38" s="2956"/>
      <c r="AF38" s="1018"/>
      <c r="AG38" s="2956" t="str">
        <f>IF(TITLE_DATE_PR_CHANGE="",IF(TITLE_DATE_PR="","",TITLE_DATE_PR),TITLE_DATE_PR_CHANGE)</f>
        <v>45981</v>
      </c>
      <c r="AH38" s="2956"/>
      <c r="AI38" s="2956"/>
      <c r="AJ38" s="2956"/>
      <c r="AK38" s="2956"/>
      <c r="AL38" s="2956"/>
      <c r="AM38" s="2956"/>
      <c r="AN38" s="2956"/>
      <c r="AO38" s="1018"/>
      <c r="AP38" s="7432" t="str">
        <f>IF(TITLE_DATE_PR_CHANGE="",IF(TITLE_DATE_PR="","",TITLE_DATE_PR),TITLE_DATE_PR_CHANGE)</f>
        <v>45981</v>
      </c>
      <c r="AQ38" s="7432"/>
      <c r="AR38" s="7432"/>
      <c r="AS38" s="7432"/>
      <c r="AT38" s="7432"/>
      <c r="AU38" s="7432"/>
      <c r="AV38" s="7432"/>
      <c r="AW38" s="7432"/>
      <c r="AX38" s="7330"/>
      <c r="AY38" s="7432" t="str">
        <f>IF(TITLE_DATE_PR_CHANGE="",IF(TITLE_DATE_PR="","",TITLE_DATE_PR),TITLE_DATE_PR_CHANGE)</f>
        <v>45981</v>
      </c>
      <c r="AZ38" s="7432"/>
      <c r="BA38" s="7432"/>
      <c r="BB38" s="7432"/>
      <c r="BC38" s="7432"/>
      <c r="BD38" s="7432"/>
      <c r="BE38" s="7432"/>
      <c r="BF38" s="7432"/>
      <c r="BG38" s="7330"/>
      <c r="BH38" s="7432" t="str">
        <f>IF(TITLE_DATE_PR_CHANGE="",IF(TITLE_DATE_PR="","",TITLE_DATE_PR),TITLE_DATE_PR_CHANGE)</f>
        <v>45981</v>
      </c>
      <c r="BI38" s="7432"/>
      <c r="BJ38" s="7432"/>
      <c r="BK38" s="7432"/>
      <c r="BL38" s="7432"/>
      <c r="BM38" s="7432"/>
      <c r="BN38" s="7432"/>
      <c r="BO38" s="7432"/>
      <c r="BP38" s="7330"/>
      <c r="BQ38" s="7432" t="str">
        <f>IF(TITLE_DATE_PR_CHANGE="",IF(TITLE_DATE_PR="","",TITLE_DATE_PR),TITLE_DATE_PR_CHANGE)</f>
        <v>45981</v>
      </c>
      <c r="BR38" s="7432"/>
      <c r="BS38" s="7432"/>
      <c r="BT38" s="7432"/>
      <c r="BU38" s="7432"/>
      <c r="BV38" s="7432"/>
      <c r="BW38" s="7432"/>
      <c r="BX38" s="7432"/>
      <c r="BY38" s="7330"/>
      <c r="BZ38" s="1018"/>
      <c r="CA38" s="972"/>
      <c r="CB38" s="1060"/>
      <c r="CC38" s="1060"/>
      <c r="CD38" s="1060"/>
      <c r="CE38" s="1060"/>
      <c r="CF38" s="1060"/>
      <c r="CG38" s="1110">
        <v>0</v>
      </c>
    </row>
    <row s="63055" customFormat="1" customHeight="1" ht="18.75">
      <c r="A39" s="1940"/>
      <c r="B39" s="1940"/>
      <c r="C39" s="1940"/>
      <c r="D39" s="1940"/>
      <c r="E39" s="1940"/>
      <c r="F39" s="1940"/>
      <c r="G39" s="1940"/>
      <c r="H39" s="1940"/>
      <c r="I39" s="1940"/>
      <c r="J39" s="1940"/>
      <c r="K39" s="1940"/>
      <c r="L39" s="1940"/>
      <c r="M39" s="2072"/>
      <c r="N39" s="1940"/>
      <c r="O39" s="1940"/>
      <c r="P39" s="1940"/>
      <c r="U39" s="2942" t="s">
        <v>498</v>
      </c>
      <c r="V39" s="2942"/>
      <c r="W39" s="2064"/>
      <c r="X39" s="2943" t="str">
        <f>IF(TITLE_NUMBER_PR_CHANGE="",IF(TITLE_NUMBER_PR="","",TITLE_NUMBER_PR),TITLE_NUMBER_PR_CHANGE)</f>
        <v>Исх-260/1781</v>
      </c>
      <c r="Y39" s="2943"/>
      <c r="Z39" s="2943"/>
      <c r="AA39" s="2943"/>
      <c r="AB39" s="2943"/>
      <c r="AC39" s="2943"/>
      <c r="AD39" s="2943"/>
      <c r="AE39" s="2943"/>
      <c r="AF39" s="1018"/>
      <c r="AG39" s="2943" t="str">
        <f>IF(TITLE_NUMBER_PR_CHANGE="",IF(TITLE_NUMBER_PR="","",TITLE_NUMBER_PR),TITLE_NUMBER_PR_CHANGE)</f>
        <v>Исх-260/1781</v>
      </c>
      <c r="AH39" s="2943"/>
      <c r="AI39" s="2943"/>
      <c r="AJ39" s="2943"/>
      <c r="AK39" s="2943"/>
      <c r="AL39" s="2943"/>
      <c r="AM39" s="2943"/>
      <c r="AN39" s="2943"/>
      <c r="AO39" s="1018"/>
      <c r="AP39" s="7431" t="str">
        <f>IF(TITLE_NUMBER_PR_CHANGE="",IF(TITLE_NUMBER_PR="","",TITLE_NUMBER_PR),TITLE_NUMBER_PR_CHANGE)</f>
        <v>Исх-260/1781</v>
      </c>
      <c r="AQ39" s="7431"/>
      <c r="AR39" s="7431"/>
      <c r="AS39" s="7431"/>
      <c r="AT39" s="7431"/>
      <c r="AU39" s="7431"/>
      <c r="AV39" s="7431"/>
      <c r="AW39" s="7431"/>
      <c r="AX39" s="7330"/>
      <c r="AY39" s="7431" t="str">
        <f>IF(TITLE_NUMBER_PR_CHANGE="",IF(TITLE_NUMBER_PR="","",TITLE_NUMBER_PR),TITLE_NUMBER_PR_CHANGE)</f>
        <v>Исх-260/1781</v>
      </c>
      <c r="AZ39" s="7431"/>
      <c r="BA39" s="7431"/>
      <c r="BB39" s="7431"/>
      <c r="BC39" s="7431"/>
      <c r="BD39" s="7431"/>
      <c r="BE39" s="7431"/>
      <c r="BF39" s="7431"/>
      <c r="BG39" s="7330"/>
      <c r="BH39" s="7431" t="str">
        <f>IF(TITLE_NUMBER_PR_CHANGE="",IF(TITLE_NUMBER_PR="","",TITLE_NUMBER_PR),TITLE_NUMBER_PR_CHANGE)</f>
        <v>Исх-260/1781</v>
      </c>
      <c r="BI39" s="7431"/>
      <c r="BJ39" s="7431"/>
      <c r="BK39" s="7431"/>
      <c r="BL39" s="7431"/>
      <c r="BM39" s="7431"/>
      <c r="BN39" s="7431"/>
      <c r="BO39" s="7431"/>
      <c r="BP39" s="7330"/>
      <c r="BQ39" s="7431" t="str">
        <f>IF(TITLE_NUMBER_PR_CHANGE="",IF(TITLE_NUMBER_PR="","",TITLE_NUMBER_PR),TITLE_NUMBER_PR_CHANGE)</f>
        <v>Исх-260/1781</v>
      </c>
      <c r="BR39" s="7431"/>
      <c r="BS39" s="7431"/>
      <c r="BT39" s="7431"/>
      <c r="BU39" s="7431"/>
      <c r="BV39" s="7431"/>
      <c r="BW39" s="7431"/>
      <c r="BX39" s="7431"/>
      <c r="BY39" s="7330"/>
      <c r="BZ39" s="1018"/>
      <c r="CA39" s="972"/>
      <c r="CB39" s="1060"/>
      <c r="CC39" s="1060"/>
      <c r="CD39" s="1060"/>
      <c r="CE39" s="1060"/>
      <c r="CF39" s="1060"/>
      <c r="CG39" s="1110">
        <v>0</v>
      </c>
    </row>
    <row s="63055" customFormat="1" customHeight="1" ht="0">
      <c r="A40" s="1940"/>
      <c r="B40" s="1940"/>
      <c r="C40" s="1940"/>
      <c r="D40" s="1940"/>
      <c r="E40" s="1940"/>
      <c r="F40" s="1940"/>
      <c r="G40" s="1940"/>
      <c r="H40" s="1940"/>
      <c r="I40" s="1940"/>
      <c r="J40" s="1940"/>
      <c r="K40" s="1940"/>
      <c r="L40" s="1940"/>
      <c r="M40" s="2072"/>
      <c r="N40" s="1940"/>
      <c r="O40" s="1940"/>
      <c r="P40" s="1940"/>
      <c r="U40" s="1015"/>
      <c r="V40" s="1015"/>
      <c r="W40" s="2032"/>
      <c r="X40" s="1018"/>
      <c r="Y40" s="1018"/>
      <c r="Z40" s="1018"/>
      <c r="AA40" s="1018"/>
      <c r="AB40" s="1018"/>
      <c r="AC40" s="1018"/>
      <c r="AD40" s="1018"/>
      <c r="AE40" s="1018"/>
      <c r="AF40" s="970" t="s">
        <v>499</v>
      </c>
      <c r="AG40" s="1018"/>
      <c r="AH40" s="1018"/>
      <c r="AI40" s="1018"/>
      <c r="AJ40" s="1018"/>
      <c r="AK40" s="1018"/>
      <c r="AL40" s="1018"/>
      <c r="AM40" s="1018"/>
      <c r="AN40" s="1018"/>
      <c r="AO40" s="970" t="s">
        <v>499</v>
      </c>
      <c r="AP40" s="7330"/>
      <c r="AQ40" s="7330"/>
      <c r="AR40" s="7330"/>
      <c r="AS40" s="7330"/>
      <c r="AT40" s="7330"/>
      <c r="AU40" s="7330"/>
      <c r="AV40" s="7330"/>
      <c r="AW40" s="7330"/>
      <c r="AX40" s="7433" t="s">
        <v>499</v>
      </c>
      <c r="AY40" s="7330"/>
      <c r="AZ40" s="7330"/>
      <c r="BA40" s="7330"/>
      <c r="BB40" s="7330"/>
      <c r="BC40" s="7330"/>
      <c r="BD40" s="7330"/>
      <c r="BE40" s="7330"/>
      <c r="BF40" s="7330"/>
      <c r="BG40" s="7433" t="s">
        <v>499</v>
      </c>
      <c r="BH40" s="7330"/>
      <c r="BI40" s="7330"/>
      <c r="BJ40" s="7330"/>
      <c r="BK40" s="7330"/>
      <c r="BL40" s="7330"/>
      <c r="BM40" s="7330"/>
      <c r="BN40" s="7330"/>
      <c r="BO40" s="7330"/>
      <c r="BP40" s="7433" t="s">
        <v>499</v>
      </c>
      <c r="BQ40" s="7330"/>
      <c r="BR40" s="7330"/>
      <c r="BS40" s="7330"/>
      <c r="BT40" s="7330"/>
      <c r="BU40" s="7330"/>
      <c r="BV40" s="7330"/>
      <c r="BW40" s="7330"/>
      <c r="BX40" s="7330"/>
      <c r="BY40" s="7433" t="s">
        <v>499</v>
      </c>
      <c r="CB40" s="1060"/>
      <c r="CC40" s="1060"/>
      <c r="CD40" s="1060"/>
      <c r="CE40" s="1060"/>
      <c r="CF40" s="1060"/>
      <c r="CG40" s="1110">
        <v>0</v>
      </c>
    </row>
    <row customHeight="1" ht="14.699999999999998">
      <c r="R41" s="1068"/>
      <c r="S41" s="1068"/>
      <c r="T41" s="1068"/>
      <c r="U41" s="1967"/>
      <c r="V41" s="1055"/>
      <c r="W41" s="1936"/>
      <c r="X41" s="2944"/>
      <c r="Y41" s="2944"/>
      <c r="Z41" s="2944"/>
      <c r="AA41" s="2944"/>
      <c r="AB41" s="2944"/>
      <c r="AC41" s="2944"/>
      <c r="AD41" s="2944"/>
      <c r="AE41" s="2944"/>
      <c r="AF41" s="2944"/>
      <c r="AG41" s="2944"/>
      <c r="AH41" s="2944"/>
      <c r="AI41" s="2944"/>
      <c r="AJ41" s="2944"/>
      <c r="AK41" s="2944"/>
      <c r="AL41" s="2944"/>
      <c r="AM41" s="2944"/>
      <c r="AN41" s="2944"/>
      <c r="AO41" s="2944"/>
      <c r="AP41" s="7434" t="s">
        <v>104</v>
      </c>
      <c r="AQ41" s="7434"/>
      <c r="AR41" s="7434"/>
      <c r="AS41" s="7434"/>
      <c r="AT41" s="7434"/>
      <c r="AU41" s="7434"/>
      <c r="AV41" s="7434"/>
      <c r="AW41" s="7434"/>
      <c r="AX41" s="7434"/>
      <c r="AY41" s="7434" t="s">
        <v>104</v>
      </c>
      <c r="AZ41" s="7434"/>
      <c r="BA41" s="7434"/>
      <c r="BB41" s="7434"/>
      <c r="BC41" s="7434"/>
      <c r="BD41" s="7434"/>
      <c r="BE41" s="7434"/>
      <c r="BF41" s="7434"/>
      <c r="BG41" s="7434"/>
      <c r="BH41" s="7434" t="s">
        <v>104</v>
      </c>
      <c r="BI41" s="7434"/>
      <c r="BJ41" s="7434"/>
      <c r="BK41" s="7434"/>
      <c r="BL41" s="7434"/>
      <c r="BM41" s="7434"/>
      <c r="BN41" s="7434"/>
      <c r="BO41" s="7434"/>
      <c r="BP41" s="7434"/>
      <c r="BQ41" s="7434" t="s">
        <v>104</v>
      </c>
      <c r="BR41" s="7434"/>
      <c r="BS41" s="7434"/>
      <c r="BT41" s="7434"/>
      <c r="BU41" s="7434"/>
      <c r="BV41" s="7434"/>
      <c r="BW41" s="7434"/>
      <c r="BX41" s="7434"/>
      <c r="BY41" s="7434"/>
      <c r="CG41" s="1847">
        <v>14</v>
      </c>
    </row>
    <row customHeight="1" ht="0">
      <c r="R42" s="1068"/>
      <c r="S42" s="1068"/>
      <c r="T42" s="1068"/>
      <c r="U42" s="2819" t="s">
        <v>375</v>
      </c>
      <c r="V42" s="2819"/>
      <c r="W42" s="2819"/>
      <c r="X42" s="2819"/>
      <c r="Y42" s="2819"/>
      <c r="Z42" s="2819"/>
      <c r="AA42" s="2819"/>
      <c r="AB42" s="2819"/>
      <c r="AC42" s="2819"/>
      <c r="AD42" s="2819"/>
      <c r="AE42" s="2819"/>
      <c r="AF42" s="2819"/>
      <c r="AG42" s="2819"/>
      <c r="AH42" s="2819"/>
      <c r="AI42" s="2819"/>
      <c r="AJ42" s="2819"/>
      <c r="AK42" s="2819"/>
      <c r="AL42" s="2819"/>
      <c r="AM42" s="2819"/>
      <c r="AN42" s="2819"/>
      <c r="AO42" s="2819"/>
      <c r="AP42" s="7435" t="s">
        <v>375</v>
      </c>
      <c r="AQ42" s="7435"/>
      <c r="AR42" s="7435"/>
      <c r="AS42" s="7435"/>
      <c r="AT42" s="7435"/>
      <c r="AU42" s="7435"/>
      <c r="AV42" s="7435"/>
      <c r="AW42" s="7435"/>
      <c r="AX42" s="7435"/>
      <c r="AY42" s="7435" t="s">
        <v>375</v>
      </c>
      <c r="AZ42" s="7435"/>
      <c r="BA42" s="7435"/>
      <c r="BB42" s="7435"/>
      <c r="BC42" s="7435"/>
      <c r="BD42" s="7435"/>
      <c r="BE42" s="7435"/>
      <c r="BF42" s="7435"/>
      <c r="BG42" s="7435"/>
      <c r="BH42" s="7435" t="s">
        <v>375</v>
      </c>
      <c r="BI42" s="7435"/>
      <c r="BJ42" s="7435"/>
      <c r="BK42" s="7435"/>
      <c r="BL42" s="7435"/>
      <c r="BM42" s="7435"/>
      <c r="BN42" s="7435"/>
      <c r="BO42" s="7435"/>
      <c r="BP42" s="7435"/>
      <c r="BQ42" s="7435" t="s">
        <v>375</v>
      </c>
      <c r="BR42" s="7435"/>
      <c r="BS42" s="7435"/>
      <c r="BT42" s="7435"/>
      <c r="BU42" s="7435"/>
      <c r="BV42" s="7435"/>
      <c r="BW42" s="7435"/>
      <c r="BX42" s="7435"/>
      <c r="BY42" s="7435"/>
      <c r="BZ42" s="2819"/>
      <c r="CA42" s="2819"/>
      <c r="CG42" s="1847"/>
    </row>
    <row customHeight="1" ht="14.699999999999998">
      <c r="R43" s="1068"/>
      <c r="S43" s="1068"/>
      <c r="T43" s="1068"/>
      <c r="U43" s="2965" t="s">
        <v>89</v>
      </c>
      <c r="V43" s="2901" t="s">
        <v>500</v>
      </c>
      <c r="W43" s="993"/>
      <c r="X43" s="2966" t="s">
        <v>501</v>
      </c>
      <c r="Y43" s="2983"/>
      <c r="Z43" s="2983"/>
      <c r="AA43" s="2983"/>
      <c r="AB43" s="2983"/>
      <c r="AC43" s="2967"/>
      <c r="AD43" s="2967"/>
      <c r="AE43" s="2968"/>
      <c r="AF43" s="2969" t="s">
        <v>502</v>
      </c>
      <c r="AG43" s="2966" t="s">
        <v>501</v>
      </c>
      <c r="AH43" s="2983"/>
      <c r="AI43" s="2983"/>
      <c r="AJ43" s="2983"/>
      <c r="AK43" s="2983"/>
      <c r="AL43" s="2967"/>
      <c r="AM43" s="2967"/>
      <c r="AN43" s="2968"/>
      <c r="AO43" s="2969" t="s">
        <v>503</v>
      </c>
      <c r="AP43" s="7436" t="s">
        <v>501</v>
      </c>
      <c r="AQ43" s="7964"/>
      <c r="AR43" s="7964"/>
      <c r="AS43" s="7964"/>
      <c r="AT43" s="7964"/>
      <c r="AU43" s="7437"/>
      <c r="AV43" s="7437"/>
      <c r="AW43" s="7438"/>
      <c r="AX43" s="7439" t="s">
        <v>502</v>
      </c>
      <c r="AY43" s="7436" t="s">
        <v>501</v>
      </c>
      <c r="AZ43" s="7964"/>
      <c r="BA43" s="7964"/>
      <c r="BB43" s="7964"/>
      <c r="BC43" s="7964"/>
      <c r="BD43" s="7437"/>
      <c r="BE43" s="7437"/>
      <c r="BF43" s="7438"/>
      <c r="BG43" s="7439" t="s">
        <v>502</v>
      </c>
      <c r="BH43" s="7436" t="s">
        <v>501</v>
      </c>
      <c r="BI43" s="7964"/>
      <c r="BJ43" s="7964"/>
      <c r="BK43" s="7964"/>
      <c r="BL43" s="7964"/>
      <c r="BM43" s="7437"/>
      <c r="BN43" s="7437"/>
      <c r="BO43" s="7438"/>
      <c r="BP43" s="7439" t="s">
        <v>502</v>
      </c>
      <c r="BQ43" s="7436" t="s">
        <v>501</v>
      </c>
      <c r="BR43" s="7964"/>
      <c r="BS43" s="7964"/>
      <c r="BT43" s="7964"/>
      <c r="BU43" s="7964"/>
      <c r="BV43" s="7437"/>
      <c r="BW43" s="7437"/>
      <c r="BX43" s="7438"/>
      <c r="BY43" s="7439" t="s">
        <v>502</v>
      </c>
      <c r="BZ43" s="2972" t="s">
        <v>504</v>
      </c>
      <c r="CA43" s="2819"/>
      <c r="CG43" s="1847">
        <v>14</v>
      </c>
    </row>
    <row customHeight="1" ht="35.699999999999996">
      <c r="R44" s="1068"/>
      <c r="S44" s="1068"/>
      <c r="T44" s="1068"/>
      <c r="U44" s="2965"/>
      <c r="V44" s="2901"/>
      <c r="W44" s="1723"/>
      <c r="X44" s="2986" t="s">
        <v>529</v>
      </c>
      <c r="Y44" s="3004" t="s">
        <v>530</v>
      </c>
      <c r="Z44" s="3004"/>
      <c r="AA44" s="3004"/>
      <c r="AB44" s="3004"/>
      <c r="AC44" s="2986" t="s">
        <v>508</v>
      </c>
      <c r="AD44" s="3303"/>
      <c r="AE44" s="3006"/>
      <c r="AF44" s="2970"/>
      <c r="AG44" s="2986" t="s">
        <v>529</v>
      </c>
      <c r="AH44" s="3004" t="s">
        <v>530</v>
      </c>
      <c r="AI44" s="3004"/>
      <c r="AJ44" s="3004"/>
      <c r="AK44" s="3004"/>
      <c r="AL44" s="2986" t="s">
        <v>508</v>
      </c>
      <c r="AM44" s="3303"/>
      <c r="AN44" s="3006"/>
      <c r="AO44" s="2970"/>
      <c r="AP44" s="7968" t="s">
        <v>529</v>
      </c>
      <c r="AQ44" s="7435" t="s">
        <v>530</v>
      </c>
      <c r="AR44" s="7435"/>
      <c r="AS44" s="7435"/>
      <c r="AT44" s="7435"/>
      <c r="AU44" s="7968" t="s">
        <v>508</v>
      </c>
      <c r="AV44" s="7969"/>
      <c r="AW44" s="7970"/>
      <c r="AX44" s="7445"/>
      <c r="AY44" s="7968" t="s">
        <v>529</v>
      </c>
      <c r="AZ44" s="7435" t="s">
        <v>530</v>
      </c>
      <c r="BA44" s="7435"/>
      <c r="BB44" s="7435"/>
      <c r="BC44" s="7435"/>
      <c r="BD44" s="7968" t="s">
        <v>508</v>
      </c>
      <c r="BE44" s="7969"/>
      <c r="BF44" s="7970"/>
      <c r="BG44" s="7445"/>
      <c r="BH44" s="7968" t="s">
        <v>529</v>
      </c>
      <c r="BI44" s="7435" t="s">
        <v>530</v>
      </c>
      <c r="BJ44" s="7435"/>
      <c r="BK44" s="7435"/>
      <c r="BL44" s="7435"/>
      <c r="BM44" s="7968" t="s">
        <v>508</v>
      </c>
      <c r="BN44" s="7969"/>
      <c r="BO44" s="7970"/>
      <c r="BP44" s="7445"/>
      <c r="BQ44" s="7968" t="s">
        <v>529</v>
      </c>
      <c r="BR44" s="7435" t="s">
        <v>530</v>
      </c>
      <c r="BS44" s="7435"/>
      <c r="BT44" s="7435"/>
      <c r="BU44" s="7435"/>
      <c r="BV44" s="7968" t="s">
        <v>508</v>
      </c>
      <c r="BW44" s="7969"/>
      <c r="BX44" s="7970"/>
      <c r="BY44" s="7445"/>
      <c r="BZ44" s="2973"/>
      <c r="CA44" s="2819"/>
      <c r="CG44" s="1847">
        <v>34</v>
      </c>
    </row>
    <row customHeight="1" ht="14.699999999999998">
      <c r="R45" s="1068"/>
      <c r="S45" s="1068"/>
      <c r="T45" s="1068"/>
      <c r="U45" s="2965"/>
      <c r="V45" s="2901"/>
      <c r="W45" s="1723"/>
      <c r="X45" s="3017"/>
      <c r="Y45" s="3009" t="s">
        <v>531</v>
      </c>
      <c r="Z45" s="2962" t="s">
        <v>532</v>
      </c>
      <c r="AA45" s="3012"/>
      <c r="AB45" s="2963"/>
      <c r="AC45" s="2987"/>
      <c r="AD45" s="3304"/>
      <c r="AE45" s="3008"/>
      <c r="AF45" s="2970"/>
      <c r="AG45" s="3017"/>
      <c r="AH45" s="3009" t="s">
        <v>531</v>
      </c>
      <c r="AI45" s="2962" t="s">
        <v>532</v>
      </c>
      <c r="AJ45" s="3012"/>
      <c r="AK45" s="2963"/>
      <c r="AL45" s="2987"/>
      <c r="AM45" s="3304"/>
      <c r="AN45" s="3008"/>
      <c r="AO45" s="2970"/>
      <c r="AP45" s="7976"/>
      <c r="AQ45" s="7977" t="s">
        <v>531</v>
      </c>
      <c r="AR45" s="7449" t="s">
        <v>532</v>
      </c>
      <c r="AS45" s="7978"/>
      <c r="AT45" s="7450"/>
      <c r="AU45" s="7979"/>
      <c r="AV45" s="7980"/>
      <c r="AW45" s="7981"/>
      <c r="AX45" s="7445"/>
      <c r="AY45" s="7976"/>
      <c r="AZ45" s="7977" t="s">
        <v>531</v>
      </c>
      <c r="BA45" s="7449" t="s">
        <v>532</v>
      </c>
      <c r="BB45" s="7978"/>
      <c r="BC45" s="7450"/>
      <c r="BD45" s="7979"/>
      <c r="BE45" s="7980"/>
      <c r="BF45" s="7981"/>
      <c r="BG45" s="7445"/>
      <c r="BH45" s="7976"/>
      <c r="BI45" s="7977" t="s">
        <v>531</v>
      </c>
      <c r="BJ45" s="7449" t="s">
        <v>532</v>
      </c>
      <c r="BK45" s="7978"/>
      <c r="BL45" s="7450"/>
      <c r="BM45" s="7979"/>
      <c r="BN45" s="7980"/>
      <c r="BO45" s="7981"/>
      <c r="BP45" s="7445"/>
      <c r="BQ45" s="7976"/>
      <c r="BR45" s="7977" t="s">
        <v>531</v>
      </c>
      <c r="BS45" s="7449" t="s">
        <v>532</v>
      </c>
      <c r="BT45" s="7978"/>
      <c r="BU45" s="7450"/>
      <c r="BV45" s="7979"/>
      <c r="BW45" s="7980"/>
      <c r="BX45" s="7981"/>
      <c r="BY45" s="7445"/>
      <c r="BZ45" s="2973"/>
      <c r="CA45" s="2819"/>
      <c r="CG45" s="1847">
        <v>14</v>
      </c>
    </row>
    <row customHeight="1" ht="27.299999999999997">
      <c r="R46" s="1068"/>
      <c r="S46" s="1068"/>
      <c r="T46" s="1068"/>
      <c r="U46" s="2965"/>
      <c r="V46" s="2901"/>
      <c r="W46" s="1723"/>
      <c r="X46" s="3017"/>
      <c r="Y46" s="3010"/>
      <c r="Z46" s="3009" t="s">
        <v>533</v>
      </c>
      <c r="AA46" s="2962" t="s">
        <v>534</v>
      </c>
      <c r="AB46" s="2963"/>
      <c r="AC46" s="3009" t="s">
        <v>518</v>
      </c>
      <c r="AD46" s="3013" t="s">
        <v>519</v>
      </c>
      <c r="AE46" s="3014"/>
      <c r="AF46" s="2970"/>
      <c r="AG46" s="3017"/>
      <c r="AH46" s="3010"/>
      <c r="AI46" s="3009" t="s">
        <v>533</v>
      </c>
      <c r="AJ46" s="2962" t="s">
        <v>534</v>
      </c>
      <c r="AK46" s="2963"/>
      <c r="AL46" s="3009" t="s">
        <v>518</v>
      </c>
      <c r="AM46" s="3013" t="s">
        <v>519</v>
      </c>
      <c r="AN46" s="3014"/>
      <c r="AO46" s="2970"/>
      <c r="AP46" s="7976"/>
      <c r="AQ46" s="7985"/>
      <c r="AR46" s="7977" t="s">
        <v>533</v>
      </c>
      <c r="AS46" s="7449" t="s">
        <v>534</v>
      </c>
      <c r="AT46" s="7450"/>
      <c r="AU46" s="7977" t="s">
        <v>518</v>
      </c>
      <c r="AV46" s="7986" t="s">
        <v>519</v>
      </c>
      <c r="AW46" s="7987"/>
      <c r="AX46" s="7445"/>
      <c r="AY46" s="7976"/>
      <c r="AZ46" s="7985"/>
      <c r="BA46" s="7977" t="s">
        <v>533</v>
      </c>
      <c r="BB46" s="7449" t="s">
        <v>534</v>
      </c>
      <c r="BC46" s="7450"/>
      <c r="BD46" s="7977" t="s">
        <v>518</v>
      </c>
      <c r="BE46" s="7986" t="s">
        <v>519</v>
      </c>
      <c r="BF46" s="7987"/>
      <c r="BG46" s="7445"/>
      <c r="BH46" s="7976"/>
      <c r="BI46" s="7985"/>
      <c r="BJ46" s="7977" t="s">
        <v>533</v>
      </c>
      <c r="BK46" s="7449" t="s">
        <v>534</v>
      </c>
      <c r="BL46" s="7450"/>
      <c r="BM46" s="7977" t="s">
        <v>518</v>
      </c>
      <c r="BN46" s="7986" t="s">
        <v>519</v>
      </c>
      <c r="BO46" s="7987"/>
      <c r="BP46" s="7445"/>
      <c r="BQ46" s="7976"/>
      <c r="BR46" s="7985"/>
      <c r="BS46" s="7977" t="s">
        <v>533</v>
      </c>
      <c r="BT46" s="7449" t="s">
        <v>534</v>
      </c>
      <c r="BU46" s="7450"/>
      <c r="BV46" s="7977" t="s">
        <v>518</v>
      </c>
      <c r="BW46" s="7986" t="s">
        <v>519</v>
      </c>
      <c r="BX46" s="7987"/>
      <c r="BY46" s="7445"/>
      <c r="BZ46" s="2973"/>
      <c r="CA46" s="2819"/>
      <c r="CG46" s="1847">
        <v>26</v>
      </c>
    </row>
    <row customHeight="1" ht="65.25">
      <c r="A47" s="1951"/>
      <c r="B47" s="1951" t="s">
        <v>143</v>
      </c>
      <c r="C47" s="1951" t="s">
        <v>144</v>
      </c>
      <c r="D47" s="1951" t="s">
        <v>145</v>
      </c>
      <c r="E47" s="2002" t="s">
        <v>509</v>
      </c>
      <c r="F47" s="2002" t="s">
        <v>510</v>
      </c>
      <c r="G47" s="2002" t="s">
        <v>511</v>
      </c>
      <c r="H47" s="2002" t="s">
        <v>512</v>
      </c>
      <c r="I47" s="2002" t="s">
        <v>513</v>
      </c>
      <c r="J47" s="2002" t="s">
        <v>514</v>
      </c>
      <c r="K47" s="2002" t="s">
        <v>515</v>
      </c>
      <c r="L47" s="2002" t="s">
        <v>535</v>
      </c>
      <c r="M47" s="2002" t="s">
        <v>490</v>
      </c>
      <c r="R47" s="1068"/>
      <c r="S47" s="1068"/>
      <c r="T47" s="1068"/>
      <c r="U47" s="2965"/>
      <c r="V47" s="2901"/>
      <c r="W47" s="994"/>
      <c r="X47" s="2987"/>
      <c r="Y47" s="3011"/>
      <c r="Z47" s="3011"/>
      <c r="AA47" s="1914" t="s">
        <v>536</v>
      </c>
      <c r="AB47" s="1914" t="s">
        <v>537</v>
      </c>
      <c r="AC47" s="3011"/>
      <c r="AD47" s="3015"/>
      <c r="AE47" s="3016"/>
      <c r="AF47" s="2971"/>
      <c r="AG47" s="2987"/>
      <c r="AH47" s="3011"/>
      <c r="AI47" s="3011"/>
      <c r="AJ47" s="1914" t="s">
        <v>536</v>
      </c>
      <c r="AK47" s="1914" t="s">
        <v>537</v>
      </c>
      <c r="AL47" s="3011"/>
      <c r="AM47" s="3015"/>
      <c r="AN47" s="3016"/>
      <c r="AO47" s="2971"/>
      <c r="AP47" s="7979"/>
      <c r="AQ47" s="7991"/>
      <c r="AR47" s="7991"/>
      <c r="AS47" s="7448" t="s">
        <v>536</v>
      </c>
      <c r="AT47" s="7448" t="s">
        <v>537</v>
      </c>
      <c r="AU47" s="7991"/>
      <c r="AV47" s="7992"/>
      <c r="AW47" s="7993"/>
      <c r="AX47" s="7451"/>
      <c r="AY47" s="7979"/>
      <c r="AZ47" s="7991"/>
      <c r="BA47" s="7991"/>
      <c r="BB47" s="7448" t="s">
        <v>536</v>
      </c>
      <c r="BC47" s="7448" t="s">
        <v>537</v>
      </c>
      <c r="BD47" s="7991"/>
      <c r="BE47" s="7992"/>
      <c r="BF47" s="7993"/>
      <c r="BG47" s="7451"/>
      <c r="BH47" s="7979"/>
      <c r="BI47" s="7991"/>
      <c r="BJ47" s="7991"/>
      <c r="BK47" s="7448" t="s">
        <v>536</v>
      </c>
      <c r="BL47" s="7448" t="s">
        <v>537</v>
      </c>
      <c r="BM47" s="7991"/>
      <c r="BN47" s="7992"/>
      <c r="BO47" s="7993"/>
      <c r="BP47" s="7451"/>
      <c r="BQ47" s="7979"/>
      <c r="BR47" s="7991"/>
      <c r="BS47" s="7991"/>
      <c r="BT47" s="7448" t="s">
        <v>536</v>
      </c>
      <c r="BU47" s="7448" t="s">
        <v>537</v>
      </c>
      <c r="BV47" s="7991"/>
      <c r="BW47" s="7992"/>
      <c r="BX47" s="7993"/>
      <c r="BY47" s="7451"/>
      <c r="BZ47" s="2974"/>
      <c r="CA47" s="2819"/>
      <c r="CG47" s="1847">
        <v>62</v>
      </c>
    </row>
    <row s="61193" customFormat="1" customHeight="1" ht="11.25" hidden="1">
      <c r="A48" s="1951"/>
      <c r="B48" s="1951"/>
      <c r="C48" s="1951"/>
      <c r="D48" s="1951"/>
      <c r="E48" s="1951"/>
      <c r="F48" s="1951"/>
      <c r="G48" s="1951"/>
      <c r="H48" s="1951"/>
      <c r="I48" s="1951"/>
      <c r="J48" s="1951"/>
      <c r="K48" s="1951"/>
      <c r="L48" s="1951"/>
      <c r="M48" s="2002"/>
      <c r="N48" s="2020"/>
      <c r="O48" s="2020"/>
      <c r="P48" s="2020"/>
      <c r="Q48" s="1938"/>
      <c r="R48" s="1939"/>
      <c r="S48" s="1946">
        <v>1</v>
      </c>
      <c r="T48" s="1946"/>
      <c r="U48" s="1969" t="s">
        <v>118</v>
      </c>
      <c r="V48" s="1947" t="s">
        <v>103</v>
      </c>
      <c r="W48" s="1937" t="str">
        <f>OFFSET(W48,0,-1)</f>
        <v>2</v>
      </c>
      <c r="X48" s="2027">
        <f>OFFSET(X48,0,-1)+1</f>
        <v>3</v>
      </c>
      <c r="Y48" s="2033"/>
      <c r="Z48" s="2033"/>
      <c r="AA48" s="2033">
        <f>OFFSET(AA48,0,-1)+1</f>
        <v>1</v>
      </c>
      <c r="AB48" s="2033">
        <f>OFFSET(AB48,0,-1)+1</f>
        <v>2</v>
      </c>
      <c r="AC48" s="2027">
        <f>OFFSET(AC48,0,-1)+1</f>
        <v>3</v>
      </c>
      <c r="AD48" s="2964">
        <f>OFFSET(AD48,0,-1)+1</f>
        <v>4</v>
      </c>
      <c r="AE48" s="2964"/>
      <c r="AF48" s="2027">
        <f>OFFSET(AF48,0,-2)+1</f>
        <v>5</v>
      </c>
      <c r="AG48" s="2027">
        <f>OFFSET(AG48,0,-1)+1</f>
        <v>6</v>
      </c>
      <c r="AH48" s="2027"/>
      <c r="AI48" s="2027"/>
      <c r="AJ48" s="2027">
        <f>OFFSET(AJ48,0,-1)+1</f>
        <v>1</v>
      </c>
      <c r="AK48" s="2027">
        <f>OFFSET(AK48,0,-1)+1</f>
        <v>2</v>
      </c>
      <c r="AL48" s="2027">
        <f>OFFSET(AL48,0,-1)+1</f>
        <v>3</v>
      </c>
      <c r="AM48" s="2964">
        <f>OFFSET(AM48,0,-1)+1</f>
        <v>4</v>
      </c>
      <c r="AN48" s="2964"/>
      <c r="AO48" s="2027">
        <f>OFFSET(AO48,0,-2)+1</f>
        <v>5</v>
      </c>
      <c r="AP48" s="7452">
        <f>OFFSET(AP48,0,-1)+1</f>
        <v>6</v>
      </c>
      <c r="AQ48" s="7994"/>
      <c r="AR48" s="7994"/>
      <c r="AS48" s="7994">
        <f>OFFSET(AS48,0,-1)+1</f>
        <v>1</v>
      </c>
      <c r="AT48" s="7994">
        <f>OFFSET(AT48,0,-1)+1</f>
        <v>2</v>
      </c>
      <c r="AU48" s="7452">
        <f>OFFSET(AU48,0,-1)+1</f>
        <v>3</v>
      </c>
      <c r="AV48" s="7452">
        <f>OFFSET(AV48,0,-1)+1</f>
        <v>4</v>
      </c>
      <c r="AW48" s="7452"/>
      <c r="AX48" s="7452">
        <f>OFFSET(AX48,0,-2)+1</f>
        <v>5</v>
      </c>
      <c r="AY48" s="7452">
        <f>OFFSET(AY48,0,-1)+1</f>
        <v>6</v>
      </c>
      <c r="AZ48" s="7994"/>
      <c r="BA48" s="7994"/>
      <c r="BB48" s="7994">
        <f>OFFSET(BB48,0,-1)+1</f>
        <v>1</v>
      </c>
      <c r="BC48" s="7994">
        <f>OFFSET(BC48,0,-1)+1</f>
        <v>2</v>
      </c>
      <c r="BD48" s="7452">
        <f>OFFSET(BD48,0,-1)+1</f>
        <v>3</v>
      </c>
      <c r="BE48" s="7452">
        <f>OFFSET(BE48,0,-1)+1</f>
        <v>4</v>
      </c>
      <c r="BF48" s="7452"/>
      <c r="BG48" s="7452">
        <f>OFFSET(BG48,0,-2)+1</f>
        <v>5</v>
      </c>
      <c r="BH48" s="7452">
        <f>OFFSET(BH48,0,-1)+1</f>
        <v>6</v>
      </c>
      <c r="BI48" s="7994"/>
      <c r="BJ48" s="7994"/>
      <c r="BK48" s="7994">
        <f>OFFSET(BK48,0,-1)+1</f>
        <v>1</v>
      </c>
      <c r="BL48" s="7994">
        <f>OFFSET(BL48,0,-1)+1</f>
        <v>2</v>
      </c>
      <c r="BM48" s="7452">
        <f>OFFSET(BM48,0,-1)+1</f>
        <v>3</v>
      </c>
      <c r="BN48" s="7452">
        <f>OFFSET(BN48,0,-1)+1</f>
        <v>4</v>
      </c>
      <c r="BO48" s="7452"/>
      <c r="BP48" s="7452">
        <f>OFFSET(BP48,0,-2)+1</f>
        <v>5</v>
      </c>
      <c r="BQ48" s="7452">
        <f>OFFSET(BQ48,0,-1)+1</f>
        <v>6</v>
      </c>
      <c r="BR48" s="7994"/>
      <c r="BS48" s="7994"/>
      <c r="BT48" s="7994">
        <f>OFFSET(BT48,0,-1)+1</f>
        <v>1</v>
      </c>
      <c r="BU48" s="7994">
        <f>OFFSET(BU48,0,-1)+1</f>
        <v>2</v>
      </c>
      <c r="BV48" s="7452">
        <f>OFFSET(BV48,0,-1)+1</f>
        <v>3</v>
      </c>
      <c r="BW48" s="7452">
        <f>OFFSET(BW48,0,-1)+1</f>
        <v>4</v>
      </c>
      <c r="BX48" s="7452"/>
      <c r="BY48" s="7452">
        <f>OFFSET(BY48,0,-2)+1</f>
        <v>5</v>
      </c>
      <c r="BZ48" s="1937">
        <f>OFFSET(BZ48,0,-1)</f>
        <v>5</v>
      </c>
      <c r="CA48" s="2027">
        <f>OFFSET(CA48,0,-1)+1</f>
        <v>6</v>
      </c>
      <c r="CB48" s="1203"/>
      <c r="CC48" s="1203"/>
      <c r="CD48" s="1203"/>
      <c r="CE48" s="1203"/>
      <c r="CF48" s="1203"/>
      <c r="CG48" s="1188">
        <v>0</v>
      </c>
    </row>
    <row customHeight="1" ht="22.049999999999997">
      <c r="A49" s="1959" t="s">
        <v>241</v>
      </c>
      <c r="B49" s="1959"/>
      <c r="C49" s="1959"/>
      <c r="D49" s="1959"/>
      <c r="E49" s="2981">
        <v>1</v>
      </c>
      <c r="F49" s="1959"/>
      <c r="G49" s="1959"/>
      <c r="H49" s="1959"/>
      <c r="I49" s="1959"/>
      <c r="J49" s="1959"/>
      <c r="K49" s="1959"/>
      <c r="L49" s="1959"/>
      <c r="M49" s="2002"/>
      <c r="N49" s="1380"/>
      <c r="O49" s="1380"/>
      <c r="P49" s="1380"/>
      <c r="Q49" s="1053"/>
      <c r="R49" s="1052"/>
      <c r="S49" s="1052"/>
      <c r="T49" s="1047"/>
      <c r="U49" s="2028">
        <f>INDEX(PT_DIFFERENTIATION_NUM_NTAR,MATCH(A49,PT_DIFFERENTIATION_NTAR_ID,0))</f>
        <v>1</v>
      </c>
      <c r="V49" s="990" t="s">
        <v>131</v>
      </c>
      <c r="W49" s="992"/>
      <c r="X49" s="2934"/>
      <c r="Y49" s="2935"/>
      <c r="Z49" s="2935"/>
      <c r="AA49" s="2935"/>
      <c r="AB49" s="2935"/>
      <c r="AC49" s="2935"/>
      <c r="AD49" s="2935"/>
      <c r="AE49" s="2935"/>
      <c r="AF49" s="2936"/>
      <c r="AG49" s="2934" t="str">
        <f>INDEX(PT_DIFFERENTIATION_NTAR,MATCH(A49,PT_DIFFERENTIATION_NTAR_ID,0))</f>
        <v>Тарифы на горячую воду в открытых системах теплоснабжения (горячего водоснабжения) на территории Артемовского городского округа</v>
      </c>
      <c r="AH49" s="2935"/>
      <c r="AI49" s="2935"/>
      <c r="AJ49" s="2935"/>
      <c r="AK49" s="2935"/>
      <c r="AL49" s="2935"/>
      <c r="AM49" s="2935"/>
      <c r="AN49" s="2935"/>
      <c r="AO49" s="2935"/>
      <c r="AP49" s="7331"/>
      <c r="AQ49" s="7332"/>
      <c r="AR49" s="7332"/>
      <c r="AS49" s="7332"/>
      <c r="AT49" s="7332"/>
      <c r="AU49" s="7332"/>
      <c r="AV49" s="7332"/>
      <c r="AW49" s="7332"/>
      <c r="AX49" s="7333"/>
      <c r="AY49" s="7331"/>
      <c r="AZ49" s="7332"/>
      <c r="BA49" s="7332"/>
      <c r="BB49" s="7332"/>
      <c r="BC49" s="7332"/>
      <c r="BD49" s="7332"/>
      <c r="BE49" s="7332"/>
      <c r="BF49" s="7332"/>
      <c r="BG49" s="7333"/>
      <c r="BH49" s="7331"/>
      <c r="BI49" s="7332"/>
      <c r="BJ49" s="7332"/>
      <c r="BK49" s="7332"/>
      <c r="BL49" s="7332"/>
      <c r="BM49" s="7332"/>
      <c r="BN49" s="7332"/>
      <c r="BO49" s="7332"/>
      <c r="BP49" s="7333"/>
      <c r="BQ49" s="7331"/>
      <c r="BR49" s="7332"/>
      <c r="BS49" s="7332"/>
      <c r="BT49" s="7332"/>
      <c r="BU49" s="7332"/>
      <c r="BV49" s="7332"/>
      <c r="BW49" s="7332"/>
      <c r="BX49" s="7332"/>
      <c r="BY49" s="7333"/>
      <c r="BZ49" s="2936"/>
      <c r="CA49" s="195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CC49" s="1192"/>
      <c r="CD49" s="1192" t="str">
        <f>IF(V49="","",V49)</f>
        <v>Наименование тарифа</v>
      </c>
      <c r="CE49" s="1192"/>
      <c r="CF49" s="1192"/>
      <c r="CG49" s="1847">
        <v>21</v>
      </c>
    </row>
    <row customHeight="1" ht="22.049999999999997">
      <c r="A50" s="1959" t="s">
        <v>241</v>
      </c>
      <c r="B50" s="1959" t="s">
        <v>242</v>
      </c>
      <c r="C50" s="1959"/>
      <c r="D50" s="1959"/>
      <c r="E50" s="2982"/>
      <c r="F50" s="2981">
        <v>1</v>
      </c>
      <c r="G50" s="1959"/>
      <c r="H50" s="1959"/>
      <c r="I50" s="1959"/>
      <c r="J50" s="1959"/>
      <c r="K50" s="1959"/>
      <c r="L50" s="1959"/>
      <c r="M50" s="2002"/>
      <c r="N50" s="1380"/>
      <c r="O50" s="1380"/>
      <c r="P50" s="1380"/>
      <c r="Q50" s="2024"/>
      <c r="R50" s="1044"/>
      <c r="S50" s="1201"/>
      <c r="T50" s="1045"/>
      <c r="U50" s="2028" t="str">
        <f>INDEX(PT_DIFFERENTIATION_NUM_TER,MATCH(B50,PT_DIFFERENTIATION_TER_ID,0))</f>
        <v>1.1</v>
      </c>
      <c r="V50" s="1000" t="s">
        <v>472</v>
      </c>
      <c r="W50" s="992"/>
      <c r="X50" s="2934"/>
      <c r="Y50" s="2935"/>
      <c r="Z50" s="2935"/>
      <c r="AA50" s="2935"/>
      <c r="AB50" s="2935"/>
      <c r="AC50" s="2935"/>
      <c r="AD50" s="2935"/>
      <c r="AE50" s="2935"/>
      <c r="AF50" s="2936"/>
      <c r="AG50" s="2934" t="str">
        <f>INDEX(PT_DIFFERENTIATION_TER,MATCH(B50,PT_DIFFERENTIATION_TER_ID,0))</f>
        <v>Территория 1</v>
      </c>
      <c r="AH50" s="2935"/>
      <c r="AI50" s="2935"/>
      <c r="AJ50" s="2935"/>
      <c r="AK50" s="2935"/>
      <c r="AL50" s="2935"/>
      <c r="AM50" s="2935"/>
      <c r="AN50" s="2935"/>
      <c r="AO50" s="2935"/>
      <c r="AP50" s="7331"/>
      <c r="AQ50" s="7332"/>
      <c r="AR50" s="7332"/>
      <c r="AS50" s="7332"/>
      <c r="AT50" s="7332"/>
      <c r="AU50" s="7332"/>
      <c r="AV50" s="7332"/>
      <c r="AW50" s="7332"/>
      <c r="AX50" s="7333"/>
      <c r="AY50" s="7331"/>
      <c r="AZ50" s="7332"/>
      <c r="BA50" s="7332"/>
      <c r="BB50" s="7332"/>
      <c r="BC50" s="7332"/>
      <c r="BD50" s="7332"/>
      <c r="BE50" s="7332"/>
      <c r="BF50" s="7332"/>
      <c r="BG50" s="7333"/>
      <c r="BH50" s="7331"/>
      <c r="BI50" s="7332"/>
      <c r="BJ50" s="7332"/>
      <c r="BK50" s="7332"/>
      <c r="BL50" s="7332"/>
      <c r="BM50" s="7332"/>
      <c r="BN50" s="7332"/>
      <c r="BO50" s="7332"/>
      <c r="BP50" s="7333"/>
      <c r="BQ50" s="7331"/>
      <c r="BR50" s="7332"/>
      <c r="BS50" s="7332"/>
      <c r="BT50" s="7332"/>
      <c r="BU50" s="7332"/>
      <c r="BV50" s="7332"/>
      <c r="BW50" s="7332"/>
      <c r="BX50" s="7332"/>
      <c r="BY50" s="7333"/>
      <c r="BZ50" s="2936"/>
      <c r="CA50" s="1950" t="s">
        <v>473</v>
      </c>
      <c r="CC50" s="1192"/>
      <c r="CD50" s="1192" t="str">
        <f>IF(V50="","",V50)</f>
        <v>Территория действия тарифа</v>
      </c>
      <c r="CE50" s="1192"/>
      <c r="CF50" s="1192"/>
      <c r="CG50" s="1847">
        <v>21</v>
      </c>
    </row>
    <row customHeight="1" ht="24">
      <c r="A51" s="1959" t="s">
        <v>241</v>
      </c>
      <c r="B51" s="1959" t="s">
        <v>242</v>
      </c>
      <c r="C51" s="1959" t="s">
        <v>243</v>
      </c>
      <c r="D51" s="1959"/>
      <c r="E51" s="2982"/>
      <c r="F51" s="2982"/>
      <c r="G51" s="2981">
        <v>1</v>
      </c>
      <c r="H51" s="1959"/>
      <c r="I51" s="1959"/>
      <c r="J51" s="1959"/>
      <c r="K51" s="1959"/>
      <c r="L51" s="1959"/>
      <c r="M51" s="2002"/>
      <c r="N51" s="1380"/>
      <c r="O51" s="1380"/>
      <c r="P51" s="1380"/>
      <c r="Q51" s="1046"/>
      <c r="R51" s="1044"/>
      <c r="S51" s="1201"/>
      <c r="T51" s="1045"/>
      <c r="U51" s="2028" t="str">
        <f>INDEX(PT_DIFFERENTIATION_NUM_CS,MATCH(C51,PT_DIFFERENTIATION_CS_ID,0))</f>
        <v>1.1.1</v>
      </c>
      <c r="V51" s="1001" t="s">
        <v>474</v>
      </c>
      <c r="W51" s="992"/>
      <c r="X51" s="2934"/>
      <c r="Y51" s="2935"/>
      <c r="Z51" s="2935"/>
      <c r="AA51" s="2935"/>
      <c r="AB51" s="2935"/>
      <c r="AC51" s="2935"/>
      <c r="AD51" s="2935"/>
      <c r="AE51" s="2935"/>
      <c r="AF51" s="2936"/>
      <c r="AG51" s="2934" t="str">
        <f>INDEX(PT_DIFFERENTIATION_CS,MATCH(C51,PT_DIFFERENTIATION_CS_ID,0))</f>
        <v>без дифференциации</v>
      </c>
      <c r="AH51" s="2935"/>
      <c r="AI51" s="2935"/>
      <c r="AJ51" s="2935"/>
      <c r="AK51" s="2935"/>
      <c r="AL51" s="2935"/>
      <c r="AM51" s="2935"/>
      <c r="AN51" s="2935"/>
      <c r="AO51" s="2935"/>
      <c r="AP51" s="7331"/>
      <c r="AQ51" s="7332"/>
      <c r="AR51" s="7332"/>
      <c r="AS51" s="7332"/>
      <c r="AT51" s="7332"/>
      <c r="AU51" s="7332"/>
      <c r="AV51" s="7332"/>
      <c r="AW51" s="7332"/>
      <c r="AX51" s="7333"/>
      <c r="AY51" s="7331"/>
      <c r="AZ51" s="7332"/>
      <c r="BA51" s="7332"/>
      <c r="BB51" s="7332"/>
      <c r="BC51" s="7332"/>
      <c r="BD51" s="7332"/>
      <c r="BE51" s="7332"/>
      <c r="BF51" s="7332"/>
      <c r="BG51" s="7333"/>
      <c r="BH51" s="7331"/>
      <c r="BI51" s="7332"/>
      <c r="BJ51" s="7332"/>
      <c r="BK51" s="7332"/>
      <c r="BL51" s="7332"/>
      <c r="BM51" s="7332"/>
      <c r="BN51" s="7332"/>
      <c r="BO51" s="7332"/>
      <c r="BP51" s="7333"/>
      <c r="BQ51" s="7331"/>
      <c r="BR51" s="7332"/>
      <c r="BS51" s="7332"/>
      <c r="BT51" s="7332"/>
      <c r="BU51" s="7332"/>
      <c r="BV51" s="7332"/>
      <c r="BW51" s="7332"/>
      <c r="BX51" s="7332"/>
      <c r="BY51" s="7333"/>
      <c r="BZ51" s="2936"/>
      <c r="CA51" s="1950" t="s">
        <v>475</v>
      </c>
      <c r="CC51" s="1192"/>
      <c r="CD51" s="1192" t="str">
        <f>IF(V51="","",V51)</f>
        <v>Наименование системы теплоснабжения </v>
      </c>
      <c r="CE51" s="1192"/>
      <c r="CF51" s="1192"/>
      <c r="CG51" s="1847">
        <v>23</v>
      </c>
    </row>
    <row customHeight="1" ht="22.049999999999997">
      <c r="A52" s="1959" t="s">
        <v>241</v>
      </c>
      <c r="B52" s="1959" t="s">
        <v>242</v>
      </c>
      <c r="C52" s="1959" t="s">
        <v>243</v>
      </c>
      <c r="D52" s="1959" t="s">
        <v>244</v>
      </c>
      <c r="E52" s="2982"/>
      <c r="F52" s="2982"/>
      <c r="G52" s="2982"/>
      <c r="H52" s="3002">
        <v>1</v>
      </c>
      <c r="I52" s="1959"/>
      <c r="J52" s="1959"/>
      <c r="K52" s="1959"/>
      <c r="L52" s="1959"/>
      <c r="M52" s="2002"/>
      <c r="N52" s="1380"/>
      <c r="O52" s="1380"/>
      <c r="P52" s="1380"/>
      <c r="Q52" s="1046"/>
      <c r="R52" s="1044"/>
      <c r="S52" s="1201"/>
      <c r="T52" s="1045"/>
      <c r="U52" s="2028" t="str">
        <f>INDEX(PT_DIFFERENTIATION_NUM_IST_TE,MATCH(D52,PT_DIFFERENTIATION_IST_TE_ID,0))</f>
        <v>1.1.1.1</v>
      </c>
      <c r="V52" s="1002" t="s">
        <v>476</v>
      </c>
      <c r="W52" s="992"/>
      <c r="X52" s="2934"/>
      <c r="Y52" s="2935"/>
      <c r="Z52" s="2935"/>
      <c r="AA52" s="2935"/>
      <c r="AB52" s="2935"/>
      <c r="AC52" s="2935"/>
      <c r="AD52" s="2935"/>
      <c r="AE52" s="2935"/>
      <c r="AF52" s="2936"/>
      <c r="AG52" s="2934" t="str">
        <f>INDEX(PT_DIFFERENTIATION_IST_TE,MATCH(D52,PT_DIFFERENTIATION_IST_TE_ID,0))</f>
        <v>без дифференциации</v>
      </c>
      <c r="AH52" s="2935"/>
      <c r="AI52" s="2935"/>
      <c r="AJ52" s="2935"/>
      <c r="AK52" s="2935"/>
      <c r="AL52" s="2935"/>
      <c r="AM52" s="2935"/>
      <c r="AN52" s="2935"/>
      <c r="AO52" s="2935"/>
      <c r="AP52" s="7331"/>
      <c r="AQ52" s="7332"/>
      <c r="AR52" s="7332"/>
      <c r="AS52" s="7332"/>
      <c r="AT52" s="7332"/>
      <c r="AU52" s="7332"/>
      <c r="AV52" s="7332"/>
      <c r="AW52" s="7332"/>
      <c r="AX52" s="7333"/>
      <c r="AY52" s="7331"/>
      <c r="AZ52" s="7332"/>
      <c r="BA52" s="7332"/>
      <c r="BB52" s="7332"/>
      <c r="BC52" s="7332"/>
      <c r="BD52" s="7332"/>
      <c r="BE52" s="7332"/>
      <c r="BF52" s="7332"/>
      <c r="BG52" s="7333"/>
      <c r="BH52" s="7331"/>
      <c r="BI52" s="7332"/>
      <c r="BJ52" s="7332"/>
      <c r="BK52" s="7332"/>
      <c r="BL52" s="7332"/>
      <c r="BM52" s="7332"/>
      <c r="BN52" s="7332"/>
      <c r="BO52" s="7332"/>
      <c r="BP52" s="7333"/>
      <c r="BQ52" s="7331"/>
      <c r="BR52" s="7332"/>
      <c r="BS52" s="7332"/>
      <c r="BT52" s="7332"/>
      <c r="BU52" s="7332"/>
      <c r="BV52" s="7332"/>
      <c r="BW52" s="7332"/>
      <c r="BX52" s="7332"/>
      <c r="BY52" s="7333"/>
      <c r="BZ52" s="2936"/>
      <c r="CA52" s="1950" t="s">
        <v>477</v>
      </c>
      <c r="CC52" s="1192"/>
      <c r="CD52" s="1192" t="str">
        <f>IF(V52="","",V52)</f>
        <v>Источник тепловой энергии  </v>
      </c>
      <c r="CE52" s="1192"/>
      <c r="CF52" s="1192"/>
      <c r="CG52" s="1847">
        <v>21</v>
      </c>
    </row>
    <row s="61695" customFormat="1" customHeight="1" ht="0">
      <c r="A53" s="2067" t="s">
        <v>241</v>
      </c>
      <c r="B53" s="2067" t="s">
        <v>242</v>
      </c>
      <c r="C53" s="2067" t="s">
        <v>243</v>
      </c>
      <c r="D53" s="2067" t="s">
        <v>244</v>
      </c>
      <c r="E53" s="2982"/>
      <c r="F53" s="2982"/>
      <c r="G53" s="2982"/>
      <c r="H53" s="3003"/>
      <c r="I53" s="2819" t="str">
        <f>U52&amp;".1"</f>
        <v>1.1.1.1.1</v>
      </c>
      <c r="J53" s="2067"/>
      <c r="K53" s="2067"/>
      <c r="L53" s="2067"/>
      <c r="M53" s="2073" t="s">
        <v>478</v>
      </c>
      <c r="N53" s="1938"/>
      <c r="O53" s="1938"/>
      <c r="P53" s="1938"/>
      <c r="Q53" s="2949">
        <v>1</v>
      </c>
      <c r="R53" s="2023"/>
      <c r="S53" s="2023"/>
      <c r="T53" s="1048"/>
      <c r="U53" s="1734"/>
      <c r="V53" s="2075"/>
      <c r="W53" s="2076"/>
      <c r="X53" s="2988"/>
      <c r="Y53" s="2989"/>
      <c r="Z53" s="2989"/>
      <c r="AA53" s="2989"/>
      <c r="AB53" s="2989"/>
      <c r="AC53" s="2989"/>
      <c r="AD53" s="2989"/>
      <c r="AE53" s="2989"/>
      <c r="AF53" s="2990"/>
      <c r="AG53" s="2988"/>
      <c r="AH53" s="2989"/>
      <c r="AI53" s="2989"/>
      <c r="AJ53" s="2989"/>
      <c r="AK53" s="2989"/>
      <c r="AL53" s="2989"/>
      <c r="AM53" s="2989"/>
      <c r="AN53" s="2989"/>
      <c r="AO53" s="2989"/>
      <c r="AP53" s="7340"/>
      <c r="AQ53" s="7341"/>
      <c r="AR53" s="7341"/>
      <c r="AS53" s="7341"/>
      <c r="AT53" s="7341"/>
      <c r="AU53" s="7341"/>
      <c r="AV53" s="7341"/>
      <c r="AW53" s="7341"/>
      <c r="AX53" s="7342"/>
      <c r="AY53" s="7340"/>
      <c r="AZ53" s="7341"/>
      <c r="BA53" s="7341"/>
      <c r="BB53" s="7341"/>
      <c r="BC53" s="7341"/>
      <c r="BD53" s="7341"/>
      <c r="BE53" s="7341"/>
      <c r="BF53" s="7341"/>
      <c r="BG53" s="7342"/>
      <c r="BH53" s="7340"/>
      <c r="BI53" s="7341"/>
      <c r="BJ53" s="7341"/>
      <c r="BK53" s="7341"/>
      <c r="BL53" s="7341"/>
      <c r="BM53" s="7341"/>
      <c r="BN53" s="7341"/>
      <c r="BO53" s="7341"/>
      <c r="BP53" s="7342"/>
      <c r="BQ53" s="7340"/>
      <c r="BR53" s="7341"/>
      <c r="BS53" s="7341"/>
      <c r="BT53" s="7341"/>
      <c r="BU53" s="7341"/>
      <c r="BV53" s="7341"/>
      <c r="BW53" s="7341"/>
      <c r="BX53" s="7341"/>
      <c r="BY53" s="7342"/>
      <c r="BZ53" s="2990"/>
      <c r="CA53" s="2077"/>
      <c r="CC53" s="1192"/>
      <c r="CD53" s="1192" t="str">
        <f>IF(V53="","",V53)</f>
        <v/>
      </c>
      <c r="CE53" s="1192"/>
      <c r="CF53" s="1192"/>
      <c r="CG53" s="1203">
        <v>0</v>
      </c>
    </row>
    <row customHeight="1" ht="22.049999999999997">
      <c r="A54" s="1959" t="s">
        <v>241</v>
      </c>
      <c r="B54" s="1959" t="s">
        <v>242</v>
      </c>
      <c r="C54" s="1959" t="s">
        <v>243</v>
      </c>
      <c r="D54" s="1959" t="s">
        <v>244</v>
      </c>
      <c r="E54" s="2982"/>
      <c r="F54" s="2982"/>
      <c r="G54" s="2982"/>
      <c r="H54" s="3003"/>
      <c r="I54" s="2793"/>
      <c r="J54" s="2819" t="str">
        <f>I53&amp;".1"</f>
        <v>1.1.1.1.1.1</v>
      </c>
      <c r="K54" s="1959"/>
      <c r="L54" s="1959"/>
      <c r="M54" s="2002" t="s">
        <v>481</v>
      </c>
      <c r="Q54" s="2949"/>
      <c r="R54" s="2949">
        <v>1</v>
      </c>
      <c r="S54" s="1210"/>
      <c r="T54" s="1049"/>
      <c r="U54" s="2028" t="str">
        <f>$J54</f>
        <v>1.1.1.1.1.1</v>
      </c>
      <c r="V54" s="978" t="s">
        <v>482</v>
      </c>
      <c r="W54" s="992"/>
      <c r="X54" s="2937"/>
      <c r="Y54" s="2938"/>
      <c r="Z54" s="2938"/>
      <c r="AA54" s="2938"/>
      <c r="AB54" s="2938"/>
      <c r="AC54" s="2927"/>
      <c r="AD54" s="2927"/>
      <c r="AE54" s="2927"/>
      <c r="AF54" s="3000"/>
      <c r="AG54" s="2937" t="s">
        <v>521</v>
      </c>
      <c r="AH54" s="2938"/>
      <c r="AI54" s="2938"/>
      <c r="AJ54" s="2938"/>
      <c r="AK54" s="2938"/>
      <c r="AL54" s="2938"/>
      <c r="AM54" s="2938"/>
      <c r="AN54" s="2938"/>
      <c r="AO54" s="2938"/>
      <c r="AP54" s="7344"/>
      <c r="AQ54" s="7345"/>
      <c r="AR54" s="7345"/>
      <c r="AS54" s="7345"/>
      <c r="AT54" s="7345"/>
      <c r="AU54" s="7854"/>
      <c r="AV54" s="7854"/>
      <c r="AW54" s="7854"/>
      <c r="AX54" s="7855"/>
      <c r="AY54" s="7344"/>
      <c r="AZ54" s="7345"/>
      <c r="BA54" s="7345"/>
      <c r="BB54" s="7345"/>
      <c r="BC54" s="7345"/>
      <c r="BD54" s="7854"/>
      <c r="BE54" s="7854"/>
      <c r="BF54" s="7854"/>
      <c r="BG54" s="7855"/>
      <c r="BH54" s="7344"/>
      <c r="BI54" s="7345"/>
      <c r="BJ54" s="7345"/>
      <c r="BK54" s="7345"/>
      <c r="BL54" s="7345"/>
      <c r="BM54" s="7854"/>
      <c r="BN54" s="7854"/>
      <c r="BO54" s="7854"/>
      <c r="BP54" s="7855"/>
      <c r="BQ54" s="7344"/>
      <c r="BR54" s="7345"/>
      <c r="BS54" s="7345"/>
      <c r="BT54" s="7345"/>
      <c r="BU54" s="7345"/>
      <c r="BV54" s="7854"/>
      <c r="BW54" s="7854"/>
      <c r="BX54" s="7854"/>
      <c r="BY54" s="7855"/>
      <c r="BZ54" s="2939"/>
      <c r="CA54" s="1950" t="s">
        <v>483</v>
      </c>
      <c r="CC54" s="1192"/>
      <c r="CD54" s="1192" t="str">
        <f>IF(V54="","",V54)</f>
        <v>Группа потребителей</v>
      </c>
      <c r="CE54" s="1192"/>
      <c r="CF54" s="1192"/>
      <c r="CG54" s="1847">
        <v>21</v>
      </c>
    </row>
    <row customHeight="1" ht="22.049999999999997">
      <c r="A55" s="1959" t="s">
        <v>241</v>
      </c>
      <c r="B55" s="1959" t="s">
        <v>242</v>
      </c>
      <c r="C55" s="1959" t="s">
        <v>243</v>
      </c>
      <c r="D55" s="1959" t="s">
        <v>244</v>
      </c>
      <c r="E55" s="2982"/>
      <c r="F55" s="2982"/>
      <c r="G55" s="2982"/>
      <c r="H55" s="3003"/>
      <c r="I55" s="2793"/>
      <c r="J55" s="2793"/>
      <c r="K55" s="2819" t="str">
        <f>J54&amp;".1"</f>
        <v>1.1.1.1.1.1.1</v>
      </c>
      <c r="L55" s="831"/>
      <c r="M55" s="2002" t="s">
        <v>484</v>
      </c>
      <c r="Q55" s="2949"/>
      <c r="R55" s="2949"/>
      <c r="S55" s="1210">
        <v>1</v>
      </c>
      <c r="T55" s="1049"/>
      <c r="U55" s="2028" t="str">
        <f>$K55</f>
        <v>1.1.1.1.1.1.1</v>
      </c>
      <c r="V55" s="2039" t="s">
        <v>522</v>
      </c>
      <c r="W55" s="992"/>
      <c r="X55" s="1443"/>
      <c r="Y55" s="1443"/>
      <c r="Z55" s="1443"/>
      <c r="AA55" s="1443"/>
      <c r="AB55" s="2097"/>
      <c r="AC55" s="2957"/>
      <c r="AD55" s="2799" t="s">
        <v>67</v>
      </c>
      <c r="AE55" s="2957"/>
      <c r="AF55" s="2799" t="s">
        <v>67</v>
      </c>
      <c r="AG55" s="2099"/>
      <c r="AH55" s="1443">
        <v>4.06</v>
      </c>
      <c r="AI55" s="1443">
        <v>5999.17</v>
      </c>
      <c r="AJ55" s="1443"/>
      <c r="AK55" s="1949"/>
      <c r="AL55" s="7350">
        <v>45292</v>
      </c>
      <c r="AM55" s="2799" t="s">
        <v>67</v>
      </c>
      <c r="AN55" s="7350">
        <v>45657</v>
      </c>
      <c r="AO55" s="2799" t="s">
        <v>67</v>
      </c>
      <c r="AP55" s="7347"/>
      <c r="AQ55" s="7347">
        <f>'ТС. Т-ТН'!AL49</f>
        <v>5.3</v>
      </c>
      <c r="AR55" s="7347">
        <f>'ТС. Т-ТЭ | ТСО'!AL49</f>
        <v>7120.86</v>
      </c>
      <c r="AS55" s="7347"/>
      <c r="AT55" s="7859"/>
      <c r="AU55" s="7350">
        <v>45658</v>
      </c>
      <c r="AV55" s="7351" t="s">
        <v>67</v>
      </c>
      <c r="AW55" s="7350">
        <v>46022</v>
      </c>
      <c r="AX55" s="7351" t="s">
        <v>67</v>
      </c>
      <c r="AY55" s="7347"/>
      <c r="AZ55" s="7347">
        <f>'ТС. Т-ТН'!AT49</f>
        <v>5.91</v>
      </c>
      <c r="BA55" s="7347">
        <v>6850.44</v>
      </c>
      <c r="BB55" s="7347"/>
      <c r="BC55" s="7859"/>
      <c r="BD55" s="7350">
        <v>46023</v>
      </c>
      <c r="BE55" s="7351" t="s">
        <v>67</v>
      </c>
      <c r="BF55" s="7350">
        <v>46387</v>
      </c>
      <c r="BG55" s="7351" t="s">
        <v>67</v>
      </c>
      <c r="BH55" s="7347"/>
      <c r="BI55" s="7347">
        <v>1.89</v>
      </c>
      <c r="BJ55" s="7347">
        <v>5725.48</v>
      </c>
      <c r="BK55" s="7347"/>
      <c r="BL55" s="7859"/>
      <c r="BM55" s="7350">
        <v>46388</v>
      </c>
      <c r="BN55" s="7351" t="s">
        <v>67</v>
      </c>
      <c r="BO55" s="7350">
        <v>46752</v>
      </c>
      <c r="BP55" s="7351" t="s">
        <v>67</v>
      </c>
      <c r="BQ55" s="7347"/>
      <c r="BR55" s="7347">
        <v>1.92</v>
      </c>
      <c r="BS55" s="7347">
        <v>5863.93</v>
      </c>
      <c r="BT55" s="7347"/>
      <c r="BU55" s="7859"/>
      <c r="BV55" s="7350">
        <v>46753</v>
      </c>
      <c r="BW55" s="7351" t="s">
        <v>67</v>
      </c>
      <c r="BX55" s="7350">
        <v>47118</v>
      </c>
      <c r="BY55" s="7351" t="s">
        <v>67</v>
      </c>
      <c r="BZ55" s="2040"/>
      <c r="CA55" s="1999" t="s">
        <v>526</v>
      </c>
      <c r="CB55" s="1203">
        <f>STRCHECKDATE(X57:BZ57)</f>
      </c>
      <c r="CC55" s="1192"/>
      <c r="CD55" s="1192" t="str">
        <f>IF(V55="","",V55)</f>
        <v>вода</v>
      </c>
      <c r="CE55" s="1192"/>
      <c r="CF55" s="1192"/>
      <c r="CG55" s="1847">
        <v>21</v>
      </c>
    </row>
    <row customHeight="1" ht="11.549999999999999">
      <c r="A56" s="1959" t="s">
        <v>241</v>
      </c>
      <c r="B56" s="1959" t="s">
        <v>242</v>
      </c>
      <c r="C56" s="1959" t="s">
        <v>243</v>
      </c>
      <c r="D56" s="1959" t="s">
        <v>244</v>
      </c>
      <c r="E56" s="2982"/>
      <c r="F56" s="2982"/>
      <c r="G56" s="2982"/>
      <c r="H56" s="3003"/>
      <c r="I56" s="2793"/>
      <c r="J56" s="2793"/>
      <c r="K56" s="2793"/>
      <c r="L56" s="2819" t="str">
        <f>K55&amp;".1"</f>
        <v>1.1.1.1.1.1.1.1</v>
      </c>
      <c r="M56" s="2002"/>
      <c r="Q56" s="2949"/>
      <c r="R56" s="2949"/>
      <c r="S56" s="1210">
        <v>1</v>
      </c>
      <c r="T56" s="1049"/>
      <c r="U56" s="2028" t="str">
        <f>$L56</f>
        <v>1.1.1.1.1.1.1.1</v>
      </c>
      <c r="V56" s="2083"/>
      <c r="W56" s="992"/>
      <c r="X56" s="1017"/>
      <c r="Y56" s="1443"/>
      <c r="Z56" s="1443"/>
      <c r="AA56" s="1443"/>
      <c r="AB56" s="2097"/>
      <c r="AC56" s="3001"/>
      <c r="AD56" s="2799"/>
      <c r="AE56" s="3001"/>
      <c r="AF56" s="2799"/>
      <c r="AG56" s="2099"/>
      <c r="AH56" s="1443"/>
      <c r="AI56" s="1443"/>
      <c r="AJ56" s="1443"/>
      <c r="AK56" s="1949"/>
      <c r="AL56" s="3001"/>
      <c r="AM56" s="2799"/>
      <c r="AN56" s="3001"/>
      <c r="AO56" s="2799"/>
      <c r="AP56" s="7348"/>
      <c r="AQ56" s="7347"/>
      <c r="AR56" s="7347"/>
      <c r="AS56" s="7347"/>
      <c r="AT56" s="7859"/>
      <c r="AU56" s="7353"/>
      <c r="AV56" s="7351"/>
      <c r="AW56" s="7353"/>
      <c r="AX56" s="7351"/>
      <c r="AY56" s="7348"/>
      <c r="AZ56" s="7347"/>
      <c r="BA56" s="7347"/>
      <c r="BB56" s="7347"/>
      <c r="BC56" s="7859"/>
      <c r="BD56" s="7353"/>
      <c r="BE56" s="7351"/>
      <c r="BF56" s="7353"/>
      <c r="BG56" s="7351"/>
      <c r="BH56" s="7348"/>
      <c r="BI56" s="7347"/>
      <c r="BJ56" s="7347"/>
      <c r="BK56" s="7347"/>
      <c r="BL56" s="7859"/>
      <c r="BM56" s="7353"/>
      <c r="BN56" s="7351"/>
      <c r="BO56" s="7353"/>
      <c r="BP56" s="7351"/>
      <c r="BQ56" s="7348"/>
      <c r="BR56" s="7347"/>
      <c r="BS56" s="7347"/>
      <c r="BT56" s="7347"/>
      <c r="BU56" s="7859"/>
      <c r="BV56" s="7353"/>
      <c r="BW56" s="7351"/>
      <c r="BX56" s="7353"/>
      <c r="BY56" s="7351"/>
      <c r="BZ56" s="2040"/>
      <c r="CA56" s="2945" t="s">
        <v>527</v>
      </c>
      <c r="CB56" s="1203">
        <f>STRCHECKDATE(X58:BZ58)</f>
      </c>
      <c r="CC56" s="1192"/>
      <c r="CD56" s="1192" t="str">
        <f>IF(V56="","",V56)</f>
        <v/>
      </c>
      <c r="CE56" s="1192"/>
      <c r="CF56" s="1192"/>
      <c r="CG56" s="1847">
        <v>11</v>
      </c>
    </row>
    <row customHeight="1" ht="0">
      <c r="A57" s="1959" t="s">
        <v>241</v>
      </c>
      <c r="B57" s="1959" t="s">
        <v>242</v>
      </c>
      <c r="C57" s="1959" t="s">
        <v>243</v>
      </c>
      <c r="D57" s="1959" t="s">
        <v>244</v>
      </c>
      <c r="E57" s="2982"/>
      <c r="F57" s="2982"/>
      <c r="G57" s="2982"/>
      <c r="H57" s="3003"/>
      <c r="I57" s="2793"/>
      <c r="J57" s="2793"/>
      <c r="K57" s="2793"/>
      <c r="L57" s="2819"/>
      <c r="M57" s="2002"/>
      <c r="Q57" s="2949"/>
      <c r="R57" s="2949"/>
      <c r="S57" s="1210"/>
      <c r="T57" s="1049"/>
      <c r="U57" s="2034"/>
      <c r="V57" s="992"/>
      <c r="W57" s="992"/>
      <c r="X57" s="1017"/>
      <c r="Y57" s="1017"/>
      <c r="Z57" s="1017"/>
      <c r="AA57" s="1017"/>
      <c r="AB57" s="2098" t="str">
        <f>AC55&amp;"-"&amp;AE55</f>
        <v>-</v>
      </c>
      <c r="AC57" s="3001"/>
      <c r="AD57" s="2799"/>
      <c r="AE57" s="3001"/>
      <c r="AF57" s="2799"/>
      <c r="AG57" s="2074"/>
      <c r="AH57" s="1017"/>
      <c r="AI57" s="1017"/>
      <c r="AJ57" s="1017"/>
      <c r="AK57" s="1020" t="str">
        <f>AL55&amp;"-"&amp;AN55</f>
        <v>45292-45657</v>
      </c>
      <c r="AL57" s="3001"/>
      <c r="AM57" s="2799"/>
      <c r="AN57" s="3001"/>
      <c r="AO57" s="2799"/>
      <c r="AP57" s="7348"/>
      <c r="AQ57" s="7348"/>
      <c r="AR57" s="7348"/>
      <c r="AS57" s="7348"/>
      <c r="AT57" s="7865" t="str">
        <f>AU55&amp;"-"&amp;AW55</f>
        <v>45658-46022</v>
      </c>
      <c r="AU57" s="7353"/>
      <c r="AV57" s="7351"/>
      <c r="AW57" s="7353"/>
      <c r="AX57" s="7351"/>
      <c r="AY57" s="7348"/>
      <c r="AZ57" s="7348"/>
      <c r="BA57" s="7348"/>
      <c r="BB57" s="7348"/>
      <c r="BC57" s="7865" t="str">
        <f>BD55&amp;"-"&amp;BF55</f>
        <v>46023-46387</v>
      </c>
      <c r="BD57" s="7353"/>
      <c r="BE57" s="7351"/>
      <c r="BF57" s="7353"/>
      <c r="BG57" s="7351"/>
      <c r="BH57" s="7348"/>
      <c r="BI57" s="7348"/>
      <c r="BJ57" s="7348"/>
      <c r="BK57" s="7348"/>
      <c r="BL57" s="7865" t="str">
        <f>BM55&amp;"-"&amp;BO55</f>
        <v>46388-46752</v>
      </c>
      <c r="BM57" s="7353"/>
      <c r="BN57" s="7351"/>
      <c r="BO57" s="7353"/>
      <c r="BP57" s="7351"/>
      <c r="BQ57" s="7348"/>
      <c r="BR57" s="7348"/>
      <c r="BS57" s="7348"/>
      <c r="BT57" s="7348"/>
      <c r="BU57" s="7865" t="str">
        <f>BV55&amp;"-"&amp;BX55</f>
        <v>46753-47118</v>
      </c>
      <c r="BV57" s="7353"/>
      <c r="BW57" s="7351"/>
      <c r="BX57" s="7353"/>
      <c r="BY57" s="7351"/>
      <c r="BZ57" s="2041"/>
      <c r="CA57" s="2946"/>
      <c r="CC57" s="1192"/>
      <c r="CD57" s="1192" t="str">
        <f>IF(V57="","",V57)</f>
        <v/>
      </c>
      <c r="CE57" s="1192"/>
      <c r="CF57" s="1192"/>
      <c r="CG57" s="1847">
        <v>0</v>
      </c>
    </row>
    <row customHeight="1" ht="11.549999999999999">
      <c r="A58" s="1959" t="s">
        <v>241</v>
      </c>
      <c r="B58" s="1959" t="s">
        <v>242</v>
      </c>
      <c r="C58" s="1959" t="s">
        <v>243</v>
      </c>
      <c r="D58" s="1959" t="s">
        <v>244</v>
      </c>
      <c r="E58" s="2982"/>
      <c r="F58" s="2982"/>
      <c r="G58" s="2982"/>
      <c r="H58" s="3003"/>
      <c r="I58" s="2793"/>
      <c r="J58" s="2793"/>
      <c r="K58" s="2819"/>
      <c r="L58" s="1959"/>
      <c r="M58" s="2002"/>
      <c r="Q58" s="2949"/>
      <c r="R58" s="2949"/>
      <c r="S58" s="2023"/>
      <c r="T58" s="1048"/>
      <c r="U58" s="1970"/>
      <c r="V58" s="980" t="s">
        <v>528</v>
      </c>
      <c r="W58" s="1059"/>
      <c r="X58" s="1059"/>
      <c r="Y58" s="1059"/>
      <c r="Z58" s="1059"/>
      <c r="AA58" s="1059"/>
      <c r="AB58" s="1059"/>
      <c r="AC58" s="3001"/>
      <c r="AD58" s="2799"/>
      <c r="AE58" s="3001"/>
      <c r="AF58" s="2799"/>
      <c r="AG58" s="1059"/>
      <c r="AH58" s="1059"/>
      <c r="AI58" s="1059"/>
      <c r="AJ58" s="1059"/>
      <c r="AK58" s="1059"/>
      <c r="AL58" s="3001"/>
      <c r="AM58" s="2799"/>
      <c r="AN58" s="3001"/>
      <c r="AO58" s="2799"/>
      <c r="AP58" s="7997"/>
      <c r="AQ58" s="7998"/>
      <c r="AR58" s="7999"/>
      <c r="AS58" s="8000"/>
      <c r="AT58" s="8001"/>
      <c r="AU58" s="7353"/>
      <c r="AV58" s="7351"/>
      <c r="AW58" s="7353"/>
      <c r="AX58" s="7351"/>
      <c r="AY58" s="8002"/>
      <c r="AZ58" s="8003"/>
      <c r="BA58" s="8004"/>
      <c r="BB58" s="8005"/>
      <c r="BC58" s="8006"/>
      <c r="BD58" s="7353"/>
      <c r="BE58" s="7351"/>
      <c r="BF58" s="7353"/>
      <c r="BG58" s="7351"/>
      <c r="BH58" s="8007"/>
      <c r="BI58" s="8008"/>
      <c r="BJ58" s="8009"/>
      <c r="BK58" s="8010"/>
      <c r="BL58" s="8011"/>
      <c r="BM58" s="7353"/>
      <c r="BN58" s="7351"/>
      <c r="BO58" s="7353"/>
      <c r="BP58" s="7351"/>
      <c r="BQ58" s="8012"/>
      <c r="BR58" s="8013"/>
      <c r="BS58" s="8014"/>
      <c r="BT58" s="8015"/>
      <c r="BU58" s="8016"/>
      <c r="BV58" s="7353"/>
      <c r="BW58" s="7351"/>
      <c r="BX58" s="7353"/>
      <c r="BY58" s="7351"/>
      <c r="BZ58" s="1016"/>
      <c r="CA58" s="2946"/>
      <c r="CC58" s="1192"/>
      <c r="CD58" s="1192" t="str">
        <f>IF(V58="","",V58)</f>
        <v>Добавить наименование поставщика</v>
      </c>
      <c r="CE58" s="1192"/>
      <c r="CF58" s="1192"/>
      <c r="CG58" s="1847">
        <v>11</v>
      </c>
    </row>
    <row customHeight="1" ht="11.549999999999999">
      <c r="A59" s="1959" t="s">
        <v>241</v>
      </c>
      <c r="B59" s="1959" t="s">
        <v>242</v>
      </c>
      <c r="C59" s="1959" t="s">
        <v>243</v>
      </c>
      <c r="D59" s="1959" t="s">
        <v>244</v>
      </c>
      <c r="E59" s="2982"/>
      <c r="F59" s="2982"/>
      <c r="G59" s="2982"/>
      <c r="H59" s="3003"/>
      <c r="I59" s="2793"/>
      <c r="J59" s="2819"/>
      <c r="K59" s="1959"/>
      <c r="L59" s="1959"/>
      <c r="M59" s="2002"/>
      <c r="Q59" s="2949"/>
      <c r="R59" s="2949"/>
      <c r="S59" s="2023"/>
      <c r="T59" s="1048"/>
      <c r="U59" s="1970"/>
      <c r="V59" s="979" t="s">
        <v>486</v>
      </c>
      <c r="W59" s="1059"/>
      <c r="X59" s="1059"/>
      <c r="Y59" s="1059"/>
      <c r="Z59" s="1059"/>
      <c r="AA59" s="1059"/>
      <c r="AB59" s="1059"/>
      <c r="AC59" s="2100"/>
      <c r="AD59" s="2100"/>
      <c r="AE59" s="2100"/>
      <c r="AF59" s="2100"/>
      <c r="AG59" s="1059"/>
      <c r="AH59" s="1059"/>
      <c r="AI59" s="1059"/>
      <c r="AJ59" s="1059"/>
      <c r="AK59" s="1059"/>
      <c r="AL59" s="1059"/>
      <c r="AM59" s="1059"/>
      <c r="AN59" s="1059"/>
      <c r="AO59" s="1059"/>
      <c r="AP59" s="8017"/>
      <c r="AQ59" s="8018"/>
      <c r="AR59" s="8019"/>
      <c r="AS59" s="8020"/>
      <c r="AT59" s="8021"/>
      <c r="AU59" s="8022"/>
      <c r="AV59" s="8023"/>
      <c r="AW59" s="8024"/>
      <c r="AX59" s="8025"/>
      <c r="AY59" s="8026"/>
      <c r="AZ59" s="8027"/>
      <c r="BA59" s="8028"/>
      <c r="BB59" s="8029"/>
      <c r="BC59" s="8030"/>
      <c r="BD59" s="8031"/>
      <c r="BE59" s="8032"/>
      <c r="BF59" s="8033"/>
      <c r="BG59" s="8034"/>
      <c r="BH59" s="8035"/>
      <c r="BI59" s="8036"/>
      <c r="BJ59" s="8037"/>
      <c r="BK59" s="8038"/>
      <c r="BL59" s="8039"/>
      <c r="BM59" s="8040"/>
      <c r="BN59" s="8041"/>
      <c r="BO59" s="8042"/>
      <c r="BP59" s="8043"/>
      <c r="BQ59" s="8044"/>
      <c r="BR59" s="8045"/>
      <c r="BS59" s="8046"/>
      <c r="BT59" s="8047"/>
      <c r="BU59" s="8048"/>
      <c r="BV59" s="8049"/>
      <c r="BW59" s="8050"/>
      <c r="BX59" s="8051"/>
      <c r="BY59" s="8052"/>
      <c r="BZ59" s="1016"/>
      <c r="CA59" s="2947"/>
      <c r="CC59" s="1192"/>
      <c r="CD59" s="1192" t="str">
        <f>IF(V59="","",V59)</f>
        <v>Добавить вид теплоносителя (параметры теплоносителя)</v>
      </c>
      <c r="CE59" s="1192"/>
      <c r="CF59" s="1192"/>
      <c r="CG59" s="1847">
        <v>11</v>
      </c>
    </row>
    <row customHeight="1" ht="11.549999999999999">
      <c r="A60" s="1959" t="s">
        <v>241</v>
      </c>
      <c r="B60" s="1959" t="s">
        <v>242</v>
      </c>
      <c r="C60" s="1959" t="s">
        <v>243</v>
      </c>
      <c r="D60" s="1959" t="s">
        <v>244</v>
      </c>
      <c r="E60" s="2982"/>
      <c r="F60" s="2982"/>
      <c r="G60" s="2982"/>
      <c r="H60" s="3003"/>
      <c r="I60" s="2819"/>
      <c r="J60" s="1959"/>
      <c r="K60" s="1959"/>
      <c r="L60" s="1959"/>
      <c r="M60" s="2002"/>
      <c r="Q60" s="2949"/>
      <c r="R60" s="2023"/>
      <c r="S60" s="2023"/>
      <c r="T60" s="1048"/>
      <c r="U60" s="1970"/>
      <c r="V60" s="1057" t="s">
        <v>487</v>
      </c>
      <c r="W60" s="1059"/>
      <c r="X60" s="1059"/>
      <c r="Y60" s="1059"/>
      <c r="Z60" s="1059"/>
      <c r="AA60" s="1059"/>
      <c r="AB60" s="1059"/>
      <c r="AC60" s="1059"/>
      <c r="AD60" s="1059"/>
      <c r="AE60" s="1059"/>
      <c r="AF60" s="1058"/>
      <c r="AG60" s="1059"/>
      <c r="AH60" s="1059"/>
      <c r="AI60" s="1059"/>
      <c r="AJ60" s="1059"/>
      <c r="AK60" s="1059"/>
      <c r="AL60" s="1059"/>
      <c r="AM60" s="1059"/>
      <c r="AN60" s="1059"/>
      <c r="AO60" s="1058"/>
      <c r="AP60" s="8053"/>
      <c r="AQ60" s="8054"/>
      <c r="AR60" s="8055"/>
      <c r="AS60" s="8056"/>
      <c r="AT60" s="8057"/>
      <c r="AU60" s="8058"/>
      <c r="AV60" s="8059"/>
      <c r="AW60" s="8060"/>
      <c r="AX60" s="8061"/>
      <c r="AY60" s="8062"/>
      <c r="AZ60" s="8063"/>
      <c r="BA60" s="8064"/>
      <c r="BB60" s="8065"/>
      <c r="BC60" s="8066"/>
      <c r="BD60" s="8067"/>
      <c r="BE60" s="8068"/>
      <c r="BF60" s="8069"/>
      <c r="BG60" s="8070"/>
      <c r="BH60" s="8071"/>
      <c r="BI60" s="8072"/>
      <c r="BJ60" s="8073"/>
      <c r="BK60" s="8074"/>
      <c r="BL60" s="8075"/>
      <c r="BM60" s="8076"/>
      <c r="BN60" s="8077"/>
      <c r="BO60" s="8078"/>
      <c r="BP60" s="8079"/>
      <c r="BQ60" s="8080"/>
      <c r="BR60" s="8081"/>
      <c r="BS60" s="8082"/>
      <c r="BT60" s="8083"/>
      <c r="BU60" s="8084"/>
      <c r="BV60" s="8085"/>
      <c r="BW60" s="8086"/>
      <c r="BX60" s="8087"/>
      <c r="BY60" s="8088"/>
      <c r="BZ60" s="1059"/>
      <c r="CA60" s="995"/>
      <c r="CC60" s="1192"/>
      <c r="CD60" s="1192" t="str">
        <f>IF(V60="","",V60)</f>
        <v>Добавить группу потребителей</v>
      </c>
      <c r="CE60" s="1192"/>
      <c r="CF60" s="1192"/>
      <c r="CG60" s="1847">
        <v>11</v>
      </c>
    </row>
    <row customHeight="1" ht="0">
      <c r="A61" s="1959" t="s">
        <v>241</v>
      </c>
      <c r="B61" s="1959" t="s">
        <v>242</v>
      </c>
      <c r="C61" s="1959" t="s">
        <v>243</v>
      </c>
      <c r="D61" s="1959" t="s">
        <v>244</v>
      </c>
      <c r="E61" s="2982"/>
      <c r="F61" s="2982"/>
      <c r="G61" s="2982"/>
      <c r="H61" s="3002"/>
      <c r="I61" s="1959"/>
      <c r="J61" s="1959"/>
      <c r="K61" s="1959"/>
      <c r="L61" s="1959"/>
      <c r="M61" s="2002"/>
      <c r="N61" s="1380"/>
      <c r="O61" s="1380"/>
      <c r="P61" s="1201"/>
      <c r="Q61" s="1052"/>
      <c r="R61" s="1067"/>
      <c r="S61" s="1047"/>
      <c r="T61" s="1052"/>
      <c r="U61" s="2078"/>
      <c r="V61" s="2079"/>
      <c r="W61" s="2080"/>
      <c r="X61" s="2080"/>
      <c r="Y61" s="2080"/>
      <c r="Z61" s="2080"/>
      <c r="AA61" s="2080"/>
      <c r="AB61" s="2080"/>
      <c r="AC61" s="2080"/>
      <c r="AD61" s="2080"/>
      <c r="AE61" s="2080"/>
      <c r="AF61" s="2080"/>
      <c r="AG61" s="2080"/>
      <c r="AH61" s="2080"/>
      <c r="AI61" s="2080"/>
      <c r="AJ61" s="2080"/>
      <c r="AK61" s="2080"/>
      <c r="AL61" s="2080"/>
      <c r="AM61" s="2080"/>
      <c r="AN61" s="2080"/>
      <c r="AO61" s="2080"/>
      <c r="AP61" s="7421"/>
      <c r="AQ61" s="7421"/>
      <c r="AR61" s="7421"/>
      <c r="AS61" s="7421"/>
      <c r="AT61" s="7421"/>
      <c r="AU61" s="7421"/>
      <c r="AV61" s="7421"/>
      <c r="AW61" s="7421"/>
      <c r="AX61" s="7421"/>
      <c r="AY61" s="7421"/>
      <c r="AZ61" s="7421"/>
      <c r="BA61" s="7421"/>
      <c r="BB61" s="7421"/>
      <c r="BC61" s="7421"/>
      <c r="BD61" s="7421"/>
      <c r="BE61" s="7421"/>
      <c r="BF61" s="7421"/>
      <c r="BG61" s="7421"/>
      <c r="BH61" s="7421"/>
      <c r="BI61" s="7421"/>
      <c r="BJ61" s="7421"/>
      <c r="BK61" s="7421"/>
      <c r="BL61" s="7421"/>
      <c r="BM61" s="7421"/>
      <c r="BN61" s="7421"/>
      <c r="BO61" s="7421"/>
      <c r="BP61" s="7421"/>
      <c r="BQ61" s="7421"/>
      <c r="BR61" s="7421"/>
      <c r="BS61" s="7421"/>
      <c r="BT61" s="7421"/>
      <c r="BU61" s="7421"/>
      <c r="BV61" s="7421"/>
      <c r="BW61" s="7421"/>
      <c r="BX61" s="7421"/>
      <c r="BY61" s="7421"/>
      <c r="BZ61" s="2080"/>
      <c r="CA61" s="2081"/>
      <c r="CC61" s="1192"/>
      <c r="CD61" s="1192" t="str">
        <f>IF(V61="","",V61)</f>
        <v/>
      </c>
      <c r="CE61" s="1192"/>
      <c r="CF61" s="1192"/>
      <c r="CG61" s="1847">
        <v>0</v>
      </c>
    </row>
    <row s="61695" customFormat="1" customHeight="1" ht="0">
      <c r="A62" s="2067" t="s">
        <v>241</v>
      </c>
      <c r="B62" s="2067" t="s">
        <v>242</v>
      </c>
      <c r="C62" s="2067" t="s">
        <v>243</v>
      </c>
      <c r="D62" s="2066"/>
      <c r="E62" s="2982"/>
      <c r="F62" s="2982"/>
      <c r="G62" s="2981"/>
      <c r="H62" s="2066"/>
      <c r="I62" s="2066"/>
      <c r="J62" s="2066"/>
      <c r="K62" s="2066"/>
      <c r="L62" s="2066"/>
      <c r="M62" s="2069"/>
      <c r="N62" s="2070"/>
      <c r="O62" s="2070"/>
      <c r="P62" s="1043"/>
      <c r="Q62" s="2008"/>
      <c r="R62" s="2009"/>
      <c r="S62" s="2008"/>
      <c r="T62" s="2008"/>
      <c r="U62" s="2014"/>
      <c r="V62" s="2017" t="s">
        <v>171</v>
      </c>
      <c r="W62" s="2016"/>
      <c r="X62" s="2016"/>
      <c r="Y62" s="2016"/>
      <c r="Z62" s="2016"/>
      <c r="AA62" s="2016"/>
      <c r="AB62" s="2016"/>
      <c r="AC62" s="2016"/>
      <c r="AD62" s="2016"/>
      <c r="AE62" s="2016"/>
      <c r="AF62" s="2016"/>
      <c r="AG62" s="2016"/>
      <c r="AH62" s="2016"/>
      <c r="AI62" s="2016"/>
      <c r="AJ62" s="2016"/>
      <c r="AK62" s="2016"/>
      <c r="AL62" s="2016"/>
      <c r="AM62" s="2016"/>
      <c r="AN62" s="2016"/>
      <c r="AO62" s="2016"/>
      <c r="AP62" s="7424"/>
      <c r="AQ62" s="7424"/>
      <c r="AR62" s="7424"/>
      <c r="AS62" s="7424"/>
      <c r="AT62" s="7424"/>
      <c r="AU62" s="7424"/>
      <c r="AV62" s="7424"/>
      <c r="AW62" s="7424"/>
      <c r="AX62" s="7424"/>
      <c r="AY62" s="7424"/>
      <c r="AZ62" s="7424"/>
      <c r="BA62" s="7424"/>
      <c r="BB62" s="7424"/>
      <c r="BC62" s="7424"/>
      <c r="BD62" s="7424"/>
      <c r="BE62" s="7424"/>
      <c r="BF62" s="7424"/>
      <c r="BG62" s="7424"/>
      <c r="BH62" s="7424"/>
      <c r="BI62" s="7424"/>
      <c r="BJ62" s="7424"/>
      <c r="BK62" s="7424"/>
      <c r="BL62" s="7424"/>
      <c r="BM62" s="7424"/>
      <c r="BN62" s="7424"/>
      <c r="BO62" s="7424"/>
      <c r="BP62" s="7424"/>
      <c r="BQ62" s="7424"/>
      <c r="BR62" s="7424"/>
      <c r="BS62" s="7424"/>
      <c r="BT62" s="7424"/>
      <c r="BU62" s="7424"/>
      <c r="BV62" s="7424"/>
      <c r="BW62" s="7424"/>
      <c r="BX62" s="7424"/>
      <c r="BY62" s="7424"/>
      <c r="BZ62" s="2016"/>
      <c r="CA62" s="2016"/>
      <c r="CC62" s="1481"/>
      <c r="CD62" s="1481" t="str">
        <f>IF(V62="","",V62)</f>
        <v>Добавить источник для дифференциации</v>
      </c>
      <c r="CE62" s="1481"/>
      <c r="CF62" s="1481"/>
      <c r="CG62" s="1210">
        <v>0</v>
      </c>
    </row>
    <row s="61695" customFormat="1" customHeight="1" ht="0">
      <c r="A63" s="2067" t="s">
        <v>241</v>
      </c>
      <c r="B63" s="2067" t="s">
        <v>242</v>
      </c>
      <c r="C63" s="2066"/>
      <c r="D63" s="2066"/>
      <c r="E63" s="2982"/>
      <c r="F63" s="2981"/>
      <c r="G63" s="2066"/>
      <c r="H63" s="2066"/>
      <c r="I63" s="2066"/>
      <c r="J63" s="2066"/>
      <c r="K63" s="2066"/>
      <c r="L63" s="2066"/>
      <c r="M63" s="2069"/>
      <c r="N63" s="2071"/>
      <c r="O63" s="2071"/>
      <c r="P63" s="1043"/>
      <c r="Q63" s="2008"/>
      <c r="R63" s="2009"/>
      <c r="S63" s="2008"/>
      <c r="T63" s="2008"/>
      <c r="U63" s="2014"/>
      <c r="V63" s="2017" t="s">
        <v>172</v>
      </c>
      <c r="W63" s="2016"/>
      <c r="X63" s="2016"/>
      <c r="Y63" s="2016"/>
      <c r="Z63" s="2016"/>
      <c r="AA63" s="2016"/>
      <c r="AB63" s="2016"/>
      <c r="AC63" s="2016"/>
      <c r="AD63" s="2016"/>
      <c r="AE63" s="2016"/>
      <c r="AF63" s="2016"/>
      <c r="AG63" s="2016"/>
      <c r="AH63" s="2016"/>
      <c r="AI63" s="2016"/>
      <c r="AJ63" s="2016"/>
      <c r="AK63" s="2016"/>
      <c r="AL63" s="2016"/>
      <c r="AM63" s="2016"/>
      <c r="AN63" s="2016"/>
      <c r="AO63" s="2016"/>
      <c r="AP63" s="7424"/>
      <c r="AQ63" s="7424"/>
      <c r="AR63" s="7424"/>
      <c r="AS63" s="7424"/>
      <c r="AT63" s="7424"/>
      <c r="AU63" s="7424"/>
      <c r="AV63" s="7424"/>
      <c r="AW63" s="7424"/>
      <c r="AX63" s="7424"/>
      <c r="AY63" s="7424"/>
      <c r="AZ63" s="7424"/>
      <c r="BA63" s="7424"/>
      <c r="BB63" s="7424"/>
      <c r="BC63" s="7424"/>
      <c r="BD63" s="7424"/>
      <c r="BE63" s="7424"/>
      <c r="BF63" s="7424"/>
      <c r="BG63" s="7424"/>
      <c r="BH63" s="7424"/>
      <c r="BI63" s="7424"/>
      <c r="BJ63" s="7424"/>
      <c r="BK63" s="7424"/>
      <c r="BL63" s="7424"/>
      <c r="BM63" s="7424"/>
      <c r="BN63" s="7424"/>
      <c r="BO63" s="7424"/>
      <c r="BP63" s="7424"/>
      <c r="BQ63" s="7424"/>
      <c r="BR63" s="7424"/>
      <c r="BS63" s="7424"/>
      <c r="BT63" s="7424"/>
      <c r="BU63" s="7424"/>
      <c r="BV63" s="7424"/>
      <c r="BW63" s="7424"/>
      <c r="BX63" s="7424"/>
      <c r="BY63" s="7424"/>
      <c r="BZ63" s="2016"/>
      <c r="CA63" s="2016"/>
      <c r="CC63" s="1481"/>
      <c r="CD63" s="1481" t="str">
        <f>IF(V63="","",V63)</f>
        <v>Добавить централизованную систему для дифференциации</v>
      </c>
      <c r="CE63" s="1481"/>
      <c r="CF63" s="1481"/>
      <c r="CG63" s="1210">
        <v>0</v>
      </c>
    </row>
    <row s="61695" customFormat="1" customHeight="1" ht="0">
      <c r="A64" s="2067" t="s">
        <v>241</v>
      </c>
      <c r="B64" s="2067"/>
      <c r="C64" s="2067"/>
      <c r="D64" s="2067"/>
      <c r="E64" s="2981"/>
      <c r="F64" s="2067"/>
      <c r="G64" s="2067"/>
      <c r="H64" s="2067"/>
      <c r="I64" s="2067"/>
      <c r="J64" s="2067"/>
      <c r="K64" s="2067"/>
      <c r="L64" s="2067"/>
      <c r="M64" s="2073"/>
      <c r="N64" s="2071"/>
      <c r="O64" s="2071"/>
      <c r="P64" s="1043"/>
      <c r="Q64" s="1072"/>
      <c r="R64" s="2036"/>
      <c r="S64" s="1072"/>
      <c r="T64" s="1072"/>
      <c r="U64" s="2014"/>
      <c r="V64" s="2017" t="s">
        <v>173</v>
      </c>
      <c r="W64" s="2016"/>
      <c r="X64" s="2016"/>
      <c r="Y64" s="2016"/>
      <c r="Z64" s="2016"/>
      <c r="AA64" s="2016"/>
      <c r="AB64" s="2016"/>
      <c r="AC64" s="2016"/>
      <c r="AD64" s="2016"/>
      <c r="AE64" s="2016"/>
      <c r="AF64" s="2016"/>
      <c r="AG64" s="2016"/>
      <c r="AH64" s="2016"/>
      <c r="AI64" s="2016"/>
      <c r="AJ64" s="2016"/>
      <c r="AK64" s="2016"/>
      <c r="AL64" s="2016"/>
      <c r="AM64" s="2016"/>
      <c r="AN64" s="2016"/>
      <c r="AO64" s="2016"/>
      <c r="AP64" s="7424"/>
      <c r="AQ64" s="7424"/>
      <c r="AR64" s="7424"/>
      <c r="AS64" s="7424"/>
      <c r="AT64" s="7424"/>
      <c r="AU64" s="7424"/>
      <c r="AV64" s="7424"/>
      <c r="AW64" s="7424"/>
      <c r="AX64" s="7424"/>
      <c r="AY64" s="7424"/>
      <c r="AZ64" s="7424"/>
      <c r="BA64" s="7424"/>
      <c r="BB64" s="7424"/>
      <c r="BC64" s="7424"/>
      <c r="BD64" s="7424"/>
      <c r="BE64" s="7424"/>
      <c r="BF64" s="7424"/>
      <c r="BG64" s="7424"/>
      <c r="BH64" s="7424"/>
      <c r="BI64" s="7424"/>
      <c r="BJ64" s="7424"/>
      <c r="BK64" s="7424"/>
      <c r="BL64" s="7424"/>
      <c r="BM64" s="7424"/>
      <c r="BN64" s="7424"/>
      <c r="BO64" s="7424"/>
      <c r="BP64" s="7424"/>
      <c r="BQ64" s="7424"/>
      <c r="BR64" s="7424"/>
      <c r="BS64" s="7424"/>
      <c r="BT64" s="7424"/>
      <c r="BU64" s="7424"/>
      <c r="BV64" s="7424"/>
      <c r="BW64" s="7424"/>
      <c r="BX64" s="7424"/>
      <c r="BY64" s="7424"/>
      <c r="BZ64" s="2016"/>
      <c r="CA64" s="2016"/>
      <c r="CC64" s="1192"/>
      <c r="CD64" s="1192" t="str">
        <f>IF(V64="","",V64)</f>
        <v>Добавить территорию для дифференциации</v>
      </c>
      <c r="CE64" s="1192"/>
      <c r="CF64" s="1192"/>
      <c r="CG64" s="1203">
        <v>0</v>
      </c>
    </row>
    <row s="63225" customFormat="1" customHeight="1" ht="21">
      <c r="A65" s="6772" t="s">
        <v>246</v>
      </c>
      <c r="B65" s="6772"/>
      <c r="C65" s="6772"/>
      <c r="D65" s="6772"/>
      <c r="E65" s="8090" t="s">
        <v>103</v>
      </c>
      <c r="F65" s="6772"/>
      <c r="G65" s="6772"/>
      <c r="H65" s="6772"/>
      <c r="I65" s="6772"/>
      <c r="J65" s="6772"/>
      <c r="K65" s="6772"/>
      <c r="L65" s="6772"/>
      <c r="M65" s="8091"/>
      <c r="N65" s="8092"/>
      <c r="O65" s="8092"/>
      <c r="P65" s="8092"/>
      <c r="Q65" s="8093"/>
      <c r="R65" s="8094"/>
      <c r="S65" s="8094"/>
      <c r="T65" s="8095"/>
      <c r="U65" s="8096" t="str">
        <f>INDEX(PT_DIFFERENTIATION_NUM_NTAR,MATCH(A65,PT_DIFFERENTIATION_NTAR_ID,0))</f>
        <v>2</v>
      </c>
      <c r="V65" s="8097" t="s">
        <v>131</v>
      </c>
      <c r="W65" s="8098"/>
      <c r="X65" s="7331"/>
      <c r="Y65" s="7332"/>
      <c r="Z65" s="7332"/>
      <c r="AA65" s="7332"/>
      <c r="AB65" s="7332"/>
      <c r="AC65" s="7332"/>
      <c r="AD65" s="7332"/>
      <c r="AE65" s="7332"/>
      <c r="AF65" s="7333"/>
      <c r="AG65" s="7331" t="str">
        <f>INDEX(PT_DIFFERENTIATION_NTAR,MATCH(A65,PT_DIFFERENTIATION_NTAR_ID,0))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AH65" s="7332"/>
      <c r="AI65" s="7332"/>
      <c r="AJ65" s="7332"/>
      <c r="AK65" s="7332"/>
      <c r="AL65" s="7332"/>
      <c r="AM65" s="7332"/>
      <c r="AN65" s="7332"/>
      <c r="AO65" s="7332"/>
      <c r="AP65" s="7331"/>
      <c r="AQ65" s="7332"/>
      <c r="AR65" s="7332"/>
      <c r="AS65" s="7332"/>
      <c r="AT65" s="7332"/>
      <c r="AU65" s="7332"/>
      <c r="AV65" s="7332"/>
      <c r="AW65" s="7332"/>
      <c r="AX65" s="7333"/>
      <c r="AY65" s="7331"/>
      <c r="AZ65" s="7332"/>
      <c r="BA65" s="7332"/>
      <c r="BB65" s="7332"/>
      <c r="BC65" s="7332"/>
      <c r="BD65" s="7332"/>
      <c r="BE65" s="7332"/>
      <c r="BF65" s="7332"/>
      <c r="BG65" s="7333"/>
      <c r="BH65" s="7331"/>
      <c r="BI65" s="7332"/>
      <c r="BJ65" s="7332"/>
      <c r="BK65" s="7332"/>
      <c r="BL65" s="7332"/>
      <c r="BM65" s="7332"/>
      <c r="BN65" s="7332"/>
      <c r="BO65" s="7332"/>
      <c r="BP65" s="7333"/>
      <c r="BQ65" s="7331"/>
      <c r="BR65" s="7332"/>
      <c r="BS65" s="7332"/>
      <c r="BT65" s="7332"/>
      <c r="BU65" s="7332"/>
      <c r="BV65" s="7332"/>
      <c r="BW65" s="7332"/>
      <c r="BX65" s="7332"/>
      <c r="BY65" s="7333"/>
      <c r="BZ65" s="7333"/>
      <c r="CA65" s="8099" t="s">
        <v>471</v>
      </c>
      <c r="CB65" s="7433"/>
      <c r="CC65" s="8100"/>
      <c r="CD65" s="8100" t="str">
        <f>IF(V65="","",V65)</f>
        <v>Наименование тарифа</v>
      </c>
      <c r="CE65" s="8100"/>
      <c r="CF65" s="8100"/>
      <c r="CG65" s="7330">
        <v>0</v>
      </c>
    </row>
    <row s="63225" customFormat="1" customHeight="1" ht="21">
      <c r="A66" s="6772"/>
      <c r="B66" s="6772" t="s">
        <v>247</v>
      </c>
      <c r="C66" s="6772"/>
      <c r="D66" s="6772"/>
      <c r="E66" s="8102">
        <v>1</v>
      </c>
      <c r="F66" s="8090">
        <v>1</v>
      </c>
      <c r="G66" s="6772"/>
      <c r="H66" s="6772"/>
      <c r="I66" s="6772"/>
      <c r="J66" s="6772"/>
      <c r="K66" s="6772"/>
      <c r="L66" s="6772"/>
      <c r="M66" s="8091"/>
      <c r="N66" s="8092"/>
      <c r="O66" s="8092"/>
      <c r="P66" s="8092"/>
      <c r="Q66" s="8103"/>
      <c r="R66" s="8104"/>
      <c r="S66" s="7330"/>
      <c r="T66" s="8105"/>
      <c r="U66" s="8096" t="str">
        <f>INDEX(PT_DIFFERENTIATION_NUM_TER,MATCH(B66,PT_DIFFERENTIATION_TER_ID,0))</f>
        <v>2.1</v>
      </c>
      <c r="V66" s="8106" t="s">
        <v>472</v>
      </c>
      <c r="W66" s="8098"/>
      <c r="X66" s="7331"/>
      <c r="Y66" s="7332"/>
      <c r="Z66" s="7332"/>
      <c r="AA66" s="7332"/>
      <c r="AB66" s="7332"/>
      <c r="AC66" s="7332"/>
      <c r="AD66" s="7332"/>
      <c r="AE66" s="7332"/>
      <c r="AF66" s="7333"/>
      <c r="AG66" s="7331" t="str">
        <f>INDEX(PT_DIFFERENTIATION_TER,MATCH(B66,PT_DIFFERENTIATION_TER_ID,0))</f>
        <v>Территория 2</v>
      </c>
      <c r="AH66" s="7332"/>
      <c r="AI66" s="7332"/>
      <c r="AJ66" s="7332"/>
      <c r="AK66" s="7332"/>
      <c r="AL66" s="7332"/>
      <c r="AM66" s="7332"/>
      <c r="AN66" s="7332"/>
      <c r="AO66" s="7332"/>
      <c r="AP66" s="7331"/>
      <c r="AQ66" s="7332"/>
      <c r="AR66" s="7332"/>
      <c r="AS66" s="7332"/>
      <c r="AT66" s="7332"/>
      <c r="AU66" s="7332"/>
      <c r="AV66" s="7332"/>
      <c r="AW66" s="7332"/>
      <c r="AX66" s="7333"/>
      <c r="AY66" s="7331"/>
      <c r="AZ66" s="7332"/>
      <c r="BA66" s="7332"/>
      <c r="BB66" s="7332"/>
      <c r="BC66" s="7332"/>
      <c r="BD66" s="7332"/>
      <c r="BE66" s="7332"/>
      <c r="BF66" s="7332"/>
      <c r="BG66" s="7333"/>
      <c r="BH66" s="7331"/>
      <c r="BI66" s="7332"/>
      <c r="BJ66" s="7332"/>
      <c r="BK66" s="7332"/>
      <c r="BL66" s="7332"/>
      <c r="BM66" s="7332"/>
      <c r="BN66" s="7332"/>
      <c r="BO66" s="7332"/>
      <c r="BP66" s="7333"/>
      <c r="BQ66" s="7331"/>
      <c r="BR66" s="7332"/>
      <c r="BS66" s="7332"/>
      <c r="BT66" s="7332"/>
      <c r="BU66" s="7332"/>
      <c r="BV66" s="7332"/>
      <c r="BW66" s="7332"/>
      <c r="BX66" s="7332"/>
      <c r="BY66" s="7333"/>
      <c r="BZ66" s="7333"/>
      <c r="CA66" s="8099" t="s">
        <v>473</v>
      </c>
      <c r="CB66" s="7433"/>
      <c r="CC66" s="8100"/>
      <c r="CD66" s="8100" t="str">
        <f>IF(V66="","",V66)</f>
        <v>Территория действия тарифа</v>
      </c>
      <c r="CE66" s="8100"/>
      <c r="CF66" s="8100"/>
      <c r="CG66" s="7330">
        <v>0</v>
      </c>
    </row>
    <row s="63225" customFormat="1" customHeight="1" ht="22.5">
      <c r="A67" s="6772"/>
      <c r="B67" s="6772"/>
      <c r="C67" s="6772" t="s">
        <v>248</v>
      </c>
      <c r="D67" s="6772"/>
      <c r="E67" s="8102">
        <v>1</v>
      </c>
      <c r="F67" s="8102"/>
      <c r="G67" s="8090">
        <v>1</v>
      </c>
      <c r="H67" s="6772"/>
      <c r="I67" s="6772"/>
      <c r="J67" s="6772"/>
      <c r="K67" s="6772"/>
      <c r="L67" s="6772"/>
      <c r="M67" s="8091"/>
      <c r="N67" s="8092"/>
      <c r="O67" s="8092"/>
      <c r="P67" s="8092"/>
      <c r="Q67" s="8108"/>
      <c r="R67" s="8104"/>
      <c r="S67" s="7330"/>
      <c r="T67" s="8105"/>
      <c r="U67" s="8096" t="str">
        <f>INDEX(PT_DIFFERENTIATION_NUM_CS,MATCH(C67,PT_DIFFERENTIATION_CS_ID,0))</f>
        <v>2.1.1</v>
      </c>
      <c r="V67" s="8109" t="s">
        <v>474</v>
      </c>
      <c r="W67" s="8098"/>
      <c r="X67" s="7331"/>
      <c r="Y67" s="7332"/>
      <c r="Z67" s="7332"/>
      <c r="AA67" s="7332"/>
      <c r="AB67" s="7332"/>
      <c r="AC67" s="7332"/>
      <c r="AD67" s="7332"/>
      <c r="AE67" s="7332"/>
      <c r="AF67" s="7333"/>
      <c r="AG67" s="7331" t="str">
        <f>INDEX(PT_DIFFERENTIATION_CS,MATCH(C67,PT_DIFFERENTIATION_CS_ID,0))</f>
        <v>без дифференциации</v>
      </c>
      <c r="AH67" s="7332"/>
      <c r="AI67" s="7332"/>
      <c r="AJ67" s="7332"/>
      <c r="AK67" s="7332"/>
      <c r="AL67" s="7332"/>
      <c r="AM67" s="7332"/>
      <c r="AN67" s="7332"/>
      <c r="AO67" s="7332"/>
      <c r="AP67" s="7331"/>
      <c r="AQ67" s="7332"/>
      <c r="AR67" s="7332"/>
      <c r="AS67" s="7332"/>
      <c r="AT67" s="7332"/>
      <c r="AU67" s="7332"/>
      <c r="AV67" s="7332"/>
      <c r="AW67" s="7332"/>
      <c r="AX67" s="7333"/>
      <c r="AY67" s="7331"/>
      <c r="AZ67" s="7332"/>
      <c r="BA67" s="7332"/>
      <c r="BB67" s="7332"/>
      <c r="BC67" s="7332"/>
      <c r="BD67" s="7332"/>
      <c r="BE67" s="7332"/>
      <c r="BF67" s="7332"/>
      <c r="BG67" s="7333"/>
      <c r="BH67" s="7331"/>
      <c r="BI67" s="7332"/>
      <c r="BJ67" s="7332"/>
      <c r="BK67" s="7332"/>
      <c r="BL67" s="7332"/>
      <c r="BM67" s="7332"/>
      <c r="BN67" s="7332"/>
      <c r="BO67" s="7332"/>
      <c r="BP67" s="7333"/>
      <c r="BQ67" s="7331"/>
      <c r="BR67" s="7332"/>
      <c r="BS67" s="7332"/>
      <c r="BT67" s="7332"/>
      <c r="BU67" s="7332"/>
      <c r="BV67" s="7332"/>
      <c r="BW67" s="7332"/>
      <c r="BX67" s="7332"/>
      <c r="BY67" s="7333"/>
      <c r="BZ67" s="7333"/>
      <c r="CA67" s="8099" t="s">
        <v>475</v>
      </c>
      <c r="CB67" s="7433"/>
      <c r="CC67" s="8100"/>
      <c r="CD67" s="8100" t="str">
        <f>IF(V67="","",V67)</f>
        <v>Наименование системы теплоснабжения </v>
      </c>
      <c r="CE67" s="8100"/>
      <c r="CF67" s="8100"/>
      <c r="CG67" s="7330">
        <v>0</v>
      </c>
    </row>
    <row s="63225" customFormat="1" customHeight="1" ht="21">
      <c r="A68" s="6772"/>
      <c r="B68" s="6772"/>
      <c r="C68" s="6772"/>
      <c r="D68" s="6772" t="s">
        <v>249</v>
      </c>
      <c r="E68" s="8102">
        <v>1</v>
      </c>
      <c r="F68" s="8102"/>
      <c r="G68" s="8102"/>
      <c r="H68" s="8090">
        <v>1</v>
      </c>
      <c r="I68" s="6772"/>
      <c r="J68" s="6772"/>
      <c r="K68" s="6772"/>
      <c r="L68" s="6772"/>
      <c r="M68" s="8091"/>
      <c r="N68" s="8092"/>
      <c r="O68" s="8092"/>
      <c r="P68" s="8092"/>
      <c r="Q68" s="8108"/>
      <c r="R68" s="8104"/>
      <c r="S68" s="7330"/>
      <c r="T68" s="8105"/>
      <c r="U68" s="8096" t="str">
        <f>INDEX(PT_DIFFERENTIATION_NUM_IST_TE,MATCH(D68,PT_DIFFERENTIATION_IST_TE_ID,0))</f>
        <v>2.1.1.1</v>
      </c>
      <c r="V68" s="8111" t="s">
        <v>476</v>
      </c>
      <c r="W68" s="8098"/>
      <c r="X68" s="7331"/>
      <c r="Y68" s="7332"/>
      <c r="Z68" s="7332"/>
      <c r="AA68" s="7332"/>
      <c r="AB68" s="7332"/>
      <c r="AC68" s="7332"/>
      <c r="AD68" s="7332"/>
      <c r="AE68" s="7332"/>
      <c r="AF68" s="7333"/>
      <c r="AG68" s="7331" t="str">
        <f>INDEX(PT_DIFFERENTIATION_IST_TE,MATCH(D68,PT_DIFFERENTIATION_IST_TE_ID,0))</f>
        <v>без дифференциации</v>
      </c>
      <c r="AH68" s="7332"/>
      <c r="AI68" s="7332"/>
      <c r="AJ68" s="7332"/>
      <c r="AK68" s="7332"/>
      <c r="AL68" s="7332"/>
      <c r="AM68" s="7332"/>
      <c r="AN68" s="7332"/>
      <c r="AO68" s="7332"/>
      <c r="AP68" s="7331"/>
      <c r="AQ68" s="7332"/>
      <c r="AR68" s="7332"/>
      <c r="AS68" s="7332"/>
      <c r="AT68" s="7332"/>
      <c r="AU68" s="7332"/>
      <c r="AV68" s="7332"/>
      <c r="AW68" s="7332"/>
      <c r="AX68" s="7333"/>
      <c r="AY68" s="7331"/>
      <c r="AZ68" s="7332"/>
      <c r="BA68" s="7332"/>
      <c r="BB68" s="7332"/>
      <c r="BC68" s="7332"/>
      <c r="BD68" s="7332"/>
      <c r="BE68" s="7332"/>
      <c r="BF68" s="7332"/>
      <c r="BG68" s="7333"/>
      <c r="BH68" s="7331"/>
      <c r="BI68" s="7332"/>
      <c r="BJ68" s="7332"/>
      <c r="BK68" s="7332"/>
      <c r="BL68" s="7332"/>
      <c r="BM68" s="7332"/>
      <c r="BN68" s="7332"/>
      <c r="BO68" s="7332"/>
      <c r="BP68" s="7333"/>
      <c r="BQ68" s="7331"/>
      <c r="BR68" s="7332"/>
      <c r="BS68" s="7332"/>
      <c r="BT68" s="7332"/>
      <c r="BU68" s="7332"/>
      <c r="BV68" s="7332"/>
      <c r="BW68" s="7332"/>
      <c r="BX68" s="7332"/>
      <c r="BY68" s="7333"/>
      <c r="BZ68" s="7333"/>
      <c r="CA68" s="8099" t="s">
        <v>477</v>
      </c>
      <c r="CB68" s="7433"/>
      <c r="CC68" s="8100"/>
      <c r="CD68" s="8100" t="str">
        <f>IF(V68="","",V68)</f>
        <v>Источник тепловой энергии  </v>
      </c>
      <c r="CE68" s="8100"/>
      <c r="CF68" s="8100"/>
      <c r="CG68" s="7330">
        <v>0</v>
      </c>
    </row>
    <row s="63225" customFormat="1" customHeight="1" ht="0.75">
      <c r="A69" s="6772"/>
      <c r="B69" s="6772"/>
      <c r="C69" s="6772"/>
      <c r="D69" s="6772"/>
      <c r="E69" s="8102">
        <v>1</v>
      </c>
      <c r="F69" s="8102"/>
      <c r="G69" s="8102"/>
      <c r="H69" s="8102"/>
      <c r="I69" s="7435" t="str">
        <f>U68&amp;".1"</f>
        <v>2.1.1.1.1</v>
      </c>
      <c r="J69" s="6772"/>
      <c r="K69" s="6772"/>
      <c r="L69" s="6772"/>
      <c r="M69" s="8091" t="s">
        <v>478</v>
      </c>
      <c r="N69" s="7330"/>
      <c r="O69" s="8093"/>
      <c r="P69" s="8093"/>
      <c r="Q69" s="8113">
        <v>1</v>
      </c>
      <c r="R69" s="8113"/>
      <c r="S69" s="8113"/>
      <c r="T69" s="8114"/>
      <c r="U69" s="8115"/>
      <c r="V69" s="8116"/>
      <c r="W69" s="8117"/>
      <c r="X69" s="7340"/>
      <c r="Y69" s="7341"/>
      <c r="Z69" s="7341"/>
      <c r="AA69" s="7341"/>
      <c r="AB69" s="7341"/>
      <c r="AC69" s="7341"/>
      <c r="AD69" s="7341"/>
      <c r="AE69" s="7341"/>
      <c r="AF69" s="7342"/>
      <c r="AG69" s="7340"/>
      <c r="AH69" s="7341"/>
      <c r="AI69" s="7341"/>
      <c r="AJ69" s="7341"/>
      <c r="AK69" s="7341"/>
      <c r="AL69" s="7341"/>
      <c r="AM69" s="7341"/>
      <c r="AN69" s="7341"/>
      <c r="AO69" s="7341"/>
      <c r="AP69" s="7340"/>
      <c r="AQ69" s="7341"/>
      <c r="AR69" s="7341"/>
      <c r="AS69" s="7341"/>
      <c r="AT69" s="7341"/>
      <c r="AU69" s="7341"/>
      <c r="AV69" s="7341"/>
      <c r="AW69" s="7341"/>
      <c r="AX69" s="7342"/>
      <c r="AY69" s="7340"/>
      <c r="AZ69" s="7341"/>
      <c r="BA69" s="7341"/>
      <c r="BB69" s="7341"/>
      <c r="BC69" s="7341"/>
      <c r="BD69" s="7341"/>
      <c r="BE69" s="7341"/>
      <c r="BF69" s="7341"/>
      <c r="BG69" s="7342"/>
      <c r="BH69" s="7340"/>
      <c r="BI69" s="7341"/>
      <c r="BJ69" s="7341"/>
      <c r="BK69" s="7341"/>
      <c r="BL69" s="7341"/>
      <c r="BM69" s="7341"/>
      <c r="BN69" s="7341"/>
      <c r="BO69" s="7341"/>
      <c r="BP69" s="7342"/>
      <c r="BQ69" s="7340"/>
      <c r="BR69" s="7341"/>
      <c r="BS69" s="7341"/>
      <c r="BT69" s="7341"/>
      <c r="BU69" s="7341"/>
      <c r="BV69" s="7341"/>
      <c r="BW69" s="7341"/>
      <c r="BX69" s="7341"/>
      <c r="BY69" s="7342"/>
      <c r="BZ69" s="7342"/>
      <c r="CA69" s="8118"/>
      <c r="CB69" s="7433"/>
      <c r="CC69" s="8100"/>
      <c r="CD69" s="8100" t="str">
        <f>IF(V69="","",V69)</f>
        <v/>
      </c>
      <c r="CE69" s="8100"/>
      <c r="CF69" s="8100"/>
      <c r="CG69" s="7330">
        <v>0</v>
      </c>
    </row>
    <row s="63225" customFormat="1" customHeight="1" ht="21">
      <c r="A70" s="6772"/>
      <c r="B70" s="6772"/>
      <c r="C70" s="6772"/>
      <c r="D70" s="6772"/>
      <c r="E70" s="8102">
        <v>1</v>
      </c>
      <c r="F70" s="8102"/>
      <c r="G70" s="8102"/>
      <c r="H70" s="8102"/>
      <c r="I70" s="7442"/>
      <c r="J70" s="7435" t="str">
        <f>I69&amp;".1"</f>
        <v>2.1.1.1.1.1</v>
      </c>
      <c r="K70" s="6772"/>
      <c r="L70" s="6772"/>
      <c r="M70" s="8091" t="s">
        <v>481</v>
      </c>
      <c r="N70" s="7330"/>
      <c r="O70" s="7330"/>
      <c r="P70" s="8093"/>
      <c r="Q70" s="8113"/>
      <c r="R70" s="8113">
        <v>1</v>
      </c>
      <c r="S70" s="7433"/>
      <c r="T70" s="8120"/>
      <c r="U70" s="8096" t="str">
        <f>$J70</f>
        <v>2.1.1.1.1.1</v>
      </c>
      <c r="V70" s="8121" t="s">
        <v>482</v>
      </c>
      <c r="W70" s="8098"/>
      <c r="X70" s="7344"/>
      <c r="Y70" s="7345"/>
      <c r="Z70" s="7345"/>
      <c r="AA70" s="7345"/>
      <c r="AB70" s="7345"/>
      <c r="AC70" s="7854"/>
      <c r="AD70" s="7854"/>
      <c r="AE70" s="7854"/>
      <c r="AF70" s="7855"/>
      <c r="AG70" s="7344" t="s">
        <v>521</v>
      </c>
      <c r="AH70" s="7345"/>
      <c r="AI70" s="7345"/>
      <c r="AJ70" s="7345"/>
      <c r="AK70" s="7345"/>
      <c r="AL70" s="7345"/>
      <c r="AM70" s="7345"/>
      <c r="AN70" s="7345"/>
      <c r="AO70" s="7345"/>
      <c r="AP70" s="7344"/>
      <c r="AQ70" s="7345"/>
      <c r="AR70" s="7345"/>
      <c r="AS70" s="7345"/>
      <c r="AT70" s="7345"/>
      <c r="AU70" s="7854"/>
      <c r="AV70" s="7854"/>
      <c r="AW70" s="7854"/>
      <c r="AX70" s="7855"/>
      <c r="AY70" s="7344"/>
      <c r="AZ70" s="7345"/>
      <c r="BA70" s="7345"/>
      <c r="BB70" s="7345"/>
      <c r="BC70" s="7345"/>
      <c r="BD70" s="7854"/>
      <c r="BE70" s="7854"/>
      <c r="BF70" s="7854"/>
      <c r="BG70" s="7855"/>
      <c r="BH70" s="7344"/>
      <c r="BI70" s="7345"/>
      <c r="BJ70" s="7345"/>
      <c r="BK70" s="7345"/>
      <c r="BL70" s="7345"/>
      <c r="BM70" s="7854"/>
      <c r="BN70" s="7854"/>
      <c r="BO70" s="7854"/>
      <c r="BP70" s="7855"/>
      <c r="BQ70" s="7344"/>
      <c r="BR70" s="7345"/>
      <c r="BS70" s="7345"/>
      <c r="BT70" s="7345"/>
      <c r="BU70" s="7345"/>
      <c r="BV70" s="7854"/>
      <c r="BW70" s="7854"/>
      <c r="BX70" s="7854"/>
      <c r="BY70" s="7855"/>
      <c r="BZ70" s="7346"/>
      <c r="CA70" s="8099" t="s">
        <v>483</v>
      </c>
      <c r="CB70" s="7433"/>
      <c r="CC70" s="8100"/>
      <c r="CD70" s="8100" t="str">
        <f>IF(V70="","",V70)</f>
        <v>Группа потребителей</v>
      </c>
      <c r="CE70" s="8100"/>
      <c r="CF70" s="8100"/>
      <c r="CG70" s="7330">
        <v>0</v>
      </c>
    </row>
    <row s="63225" customFormat="1" customHeight="1" ht="21">
      <c r="A71" s="6772"/>
      <c r="B71" s="6772"/>
      <c r="C71" s="6772"/>
      <c r="D71" s="6772"/>
      <c r="E71" s="8102">
        <v>1</v>
      </c>
      <c r="F71" s="8102"/>
      <c r="G71" s="8102"/>
      <c r="H71" s="8102"/>
      <c r="I71" s="7442"/>
      <c r="J71" s="7442"/>
      <c r="K71" s="7435" t="str">
        <f>J70&amp;".1"</f>
        <v>2.1.1.1.1.1.1</v>
      </c>
      <c r="L71" s="8103"/>
      <c r="M71" s="8091" t="s">
        <v>484</v>
      </c>
      <c r="N71" s="7330"/>
      <c r="O71" s="7330"/>
      <c r="P71" s="7330"/>
      <c r="Q71" s="8113"/>
      <c r="R71" s="8113"/>
      <c r="S71" s="8113">
        <v>1</v>
      </c>
      <c r="T71" s="8120"/>
      <c r="U71" s="8096" t="str">
        <f>$K71</f>
        <v>2.1.1.1.1.1.1</v>
      </c>
      <c r="V71" s="8123" t="s">
        <v>522</v>
      </c>
      <c r="W71" s="8098"/>
      <c r="X71" s="7347"/>
      <c r="Y71" s="7347"/>
      <c r="Z71" s="7347"/>
      <c r="AA71" s="7347"/>
      <c r="AB71" s="7859"/>
      <c r="AC71" s="7350"/>
      <c r="AD71" s="7351" t="s">
        <v>67</v>
      </c>
      <c r="AE71" s="7350"/>
      <c r="AF71" s="7351" t="s">
        <v>67</v>
      </c>
      <c r="AG71" s="8124"/>
      <c r="AH71" s="7347">
        <v>53.76</v>
      </c>
      <c r="AI71" s="7347">
        <v>3768.87</v>
      </c>
      <c r="AJ71" s="7347"/>
      <c r="AK71" s="7349"/>
      <c r="AL71" s="7350">
        <v>45292</v>
      </c>
      <c r="AM71" s="7351" t="s">
        <v>67</v>
      </c>
      <c r="AN71" s="7350">
        <v>45657</v>
      </c>
      <c r="AO71" s="7351" t="s">
        <v>67</v>
      </c>
      <c r="AP71" s="7347"/>
      <c r="AQ71" s="7347">
        <f>'ТС. Т-ТН'!AL63</f>
        <v>47.14</v>
      </c>
      <c r="AR71" s="7347">
        <f>'ТС. Т-ТЭ | ТСО'!AL63</f>
        <v>4451.36</v>
      </c>
      <c r="AS71" s="7347"/>
      <c r="AT71" s="7859"/>
      <c r="AU71" s="7350">
        <v>45658</v>
      </c>
      <c r="AV71" s="7351" t="s">
        <v>67</v>
      </c>
      <c r="AW71" s="7350">
        <v>46022</v>
      </c>
      <c r="AX71" s="7351" t="s">
        <v>67</v>
      </c>
      <c r="AY71" s="7347"/>
      <c r="AZ71" s="7347">
        <f>'ТС. Т-ТН'!AT63</f>
        <v>51.91</v>
      </c>
      <c r="BA71" s="7347">
        <v>6070.29</v>
      </c>
      <c r="BB71" s="7347"/>
      <c r="BC71" s="7859"/>
      <c r="BD71" s="7350">
        <v>46023</v>
      </c>
      <c r="BE71" s="7351" t="s">
        <v>67</v>
      </c>
      <c r="BF71" s="7350">
        <v>46387</v>
      </c>
      <c r="BG71" s="7351" t="s">
        <v>67</v>
      </c>
      <c r="BH71" s="7347"/>
      <c r="BI71" s="7347">
        <v>50.96</v>
      </c>
      <c r="BJ71" s="7347">
        <v>3392.98</v>
      </c>
      <c r="BK71" s="7347"/>
      <c r="BL71" s="7859"/>
      <c r="BM71" s="7350">
        <v>46388</v>
      </c>
      <c r="BN71" s="7351" t="s">
        <v>67</v>
      </c>
      <c r="BO71" s="7350">
        <v>46752</v>
      </c>
      <c r="BP71" s="7351" t="s">
        <v>67</v>
      </c>
      <c r="BQ71" s="7347"/>
      <c r="BR71" s="7347">
        <v>52.35</v>
      </c>
      <c r="BS71" s="7347">
        <v>3493.78</v>
      </c>
      <c r="BT71" s="7347"/>
      <c r="BU71" s="7859"/>
      <c r="BV71" s="7350">
        <v>46753</v>
      </c>
      <c r="BW71" s="7351" t="s">
        <v>67</v>
      </c>
      <c r="BX71" s="7350">
        <v>47118</v>
      </c>
      <c r="BY71" s="7351" t="s">
        <v>67</v>
      </c>
      <c r="BZ71" s="7348"/>
      <c r="CA71" s="8125" t="s">
        <v>526</v>
      </c>
      <c r="CB71" s="7433">
        <f>STRCHECKDATE(X73:BZ73)</f>
      </c>
      <c r="CC71" s="8100"/>
      <c r="CD71" s="8100" t="str">
        <f>IF(V71="","",V71)</f>
        <v>вода</v>
      </c>
      <c r="CE71" s="8100"/>
      <c r="CF71" s="8100"/>
      <c r="CG71" s="7330">
        <v>0</v>
      </c>
    </row>
    <row s="63225" customFormat="1" customHeight="1" ht="0">
      <c r="A72" s="6772"/>
      <c r="B72" s="6772"/>
      <c r="C72" s="6772"/>
      <c r="D72" s="6772"/>
      <c r="E72" s="8102">
        <v>1</v>
      </c>
      <c r="F72" s="8102"/>
      <c r="G72" s="8102"/>
      <c r="H72" s="8102"/>
      <c r="I72" s="7442"/>
      <c r="J72" s="7442"/>
      <c r="K72" s="7442"/>
      <c r="L72" s="7435" t="str">
        <f>K71&amp;".1"</f>
        <v>2.1.1.1.1.1.1.1</v>
      </c>
      <c r="M72" s="8091"/>
      <c r="N72" s="7330"/>
      <c r="O72" s="7330"/>
      <c r="P72" s="7330"/>
      <c r="Q72" s="8113"/>
      <c r="R72" s="8113"/>
      <c r="S72" s="8113"/>
      <c r="T72" s="8120"/>
      <c r="U72" s="8096" t="str">
        <f>$L72</f>
        <v>2.1.1.1.1.1.1.1</v>
      </c>
      <c r="V72" s="8127"/>
      <c r="W72" s="8098"/>
      <c r="X72" s="7348"/>
      <c r="Y72" s="7347"/>
      <c r="Z72" s="7347"/>
      <c r="AA72" s="7347"/>
      <c r="AB72" s="7859"/>
      <c r="AC72" s="7353"/>
      <c r="AD72" s="7351"/>
      <c r="AE72" s="7353"/>
      <c r="AF72" s="7351"/>
      <c r="AG72" s="8124"/>
      <c r="AH72" s="7347"/>
      <c r="AI72" s="7347"/>
      <c r="AJ72" s="7347"/>
      <c r="AK72" s="7349"/>
      <c r="AL72" s="7353"/>
      <c r="AM72" s="7351"/>
      <c r="AN72" s="7353"/>
      <c r="AO72" s="7351"/>
      <c r="AP72" s="7348"/>
      <c r="AQ72" s="7347"/>
      <c r="AR72" s="7347"/>
      <c r="AS72" s="7347"/>
      <c r="AT72" s="7859"/>
      <c r="AU72" s="7353"/>
      <c r="AV72" s="7351"/>
      <c r="AW72" s="7353"/>
      <c r="AX72" s="7351"/>
      <c r="AY72" s="7348"/>
      <c r="AZ72" s="7347"/>
      <c r="BA72" s="7347"/>
      <c r="BB72" s="7347"/>
      <c r="BC72" s="7859"/>
      <c r="BD72" s="7353"/>
      <c r="BE72" s="7351"/>
      <c r="BF72" s="7353"/>
      <c r="BG72" s="7351"/>
      <c r="BH72" s="7348"/>
      <c r="BI72" s="7347"/>
      <c r="BJ72" s="7347"/>
      <c r="BK72" s="7347"/>
      <c r="BL72" s="7859"/>
      <c r="BM72" s="7353"/>
      <c r="BN72" s="7351"/>
      <c r="BO72" s="7353"/>
      <c r="BP72" s="7351"/>
      <c r="BQ72" s="7348"/>
      <c r="BR72" s="7347"/>
      <c r="BS72" s="7347"/>
      <c r="BT72" s="7347"/>
      <c r="BU72" s="7859"/>
      <c r="BV72" s="7353"/>
      <c r="BW72" s="7351"/>
      <c r="BX72" s="7353"/>
      <c r="BY72" s="7351"/>
      <c r="BZ72" s="7348"/>
      <c r="CA72" s="8128" t="s">
        <v>527</v>
      </c>
      <c r="CB72" s="7433"/>
      <c r="CC72" s="8100"/>
      <c r="CD72" s="8100"/>
      <c r="CE72" s="8100"/>
      <c r="CF72" s="8100"/>
      <c r="CG72" s="7330">
        <v>0</v>
      </c>
    </row>
    <row s="63225" customFormat="1" customHeight="1" ht="0">
      <c r="A73" s="6772"/>
      <c r="B73" s="6772"/>
      <c r="C73" s="6772"/>
      <c r="D73" s="6772"/>
      <c r="E73" s="8102">
        <v>1</v>
      </c>
      <c r="F73" s="8102"/>
      <c r="G73" s="8102"/>
      <c r="H73" s="8102"/>
      <c r="I73" s="7442"/>
      <c r="J73" s="7442"/>
      <c r="K73" s="7442"/>
      <c r="L73" s="7435"/>
      <c r="M73" s="8091"/>
      <c r="N73" s="7330"/>
      <c r="O73" s="7330"/>
      <c r="P73" s="7330"/>
      <c r="Q73" s="8113"/>
      <c r="R73" s="8113"/>
      <c r="S73" s="8113"/>
      <c r="T73" s="8120"/>
      <c r="U73" s="8130"/>
      <c r="V73" s="8098"/>
      <c r="W73" s="8098"/>
      <c r="X73" s="7348"/>
      <c r="Y73" s="7348"/>
      <c r="Z73" s="7348"/>
      <c r="AA73" s="7348"/>
      <c r="AB73" s="7865" t="str">
        <f>AC71&amp;"-"&amp;AE71</f>
        <v>-</v>
      </c>
      <c r="AC73" s="7353"/>
      <c r="AD73" s="7351"/>
      <c r="AE73" s="7353"/>
      <c r="AF73" s="7351"/>
      <c r="AG73" s="8131"/>
      <c r="AH73" s="7348"/>
      <c r="AI73" s="7348"/>
      <c r="AJ73" s="7348"/>
      <c r="AK73" s="7352" t="str">
        <f>AL71&amp;"-"&amp;AN71</f>
        <v>45292-45657</v>
      </c>
      <c r="AL73" s="7353"/>
      <c r="AM73" s="7351"/>
      <c r="AN73" s="7353"/>
      <c r="AO73" s="7351"/>
      <c r="AP73" s="7348"/>
      <c r="AQ73" s="7348"/>
      <c r="AR73" s="7348"/>
      <c r="AS73" s="7348"/>
      <c r="AT73" s="7865" t="str">
        <f>AU71&amp;"-"&amp;AW71</f>
        <v>45658-46022</v>
      </c>
      <c r="AU73" s="7353"/>
      <c r="AV73" s="7351"/>
      <c r="AW73" s="7353"/>
      <c r="AX73" s="7351"/>
      <c r="AY73" s="7348"/>
      <c r="AZ73" s="7348"/>
      <c r="BA73" s="7348"/>
      <c r="BB73" s="7348"/>
      <c r="BC73" s="7865" t="str">
        <f>BD71&amp;"-"&amp;BF71</f>
        <v>46023-46387</v>
      </c>
      <c r="BD73" s="7353"/>
      <c r="BE73" s="7351"/>
      <c r="BF73" s="7353"/>
      <c r="BG73" s="7351"/>
      <c r="BH73" s="7348"/>
      <c r="BI73" s="7348"/>
      <c r="BJ73" s="7348"/>
      <c r="BK73" s="7348"/>
      <c r="BL73" s="7865" t="str">
        <f>BM71&amp;"-"&amp;BO71</f>
        <v>46388-46752</v>
      </c>
      <c r="BM73" s="7353"/>
      <c r="BN73" s="7351"/>
      <c r="BO73" s="7353"/>
      <c r="BP73" s="7351"/>
      <c r="BQ73" s="7348"/>
      <c r="BR73" s="7348"/>
      <c r="BS73" s="7348"/>
      <c r="BT73" s="7348"/>
      <c r="BU73" s="7865" t="str">
        <f>BV71&amp;"-"&amp;BX71</f>
        <v>46753-47118</v>
      </c>
      <c r="BV73" s="7353"/>
      <c r="BW73" s="7351"/>
      <c r="BX73" s="7353"/>
      <c r="BY73" s="7351"/>
      <c r="BZ73" s="7348"/>
      <c r="CA73" s="8132"/>
      <c r="CB73" s="7433"/>
      <c r="CC73" s="8100"/>
      <c r="CD73" s="8100" t="str">
        <f>IF(V73="","",V73)</f>
        <v/>
      </c>
      <c r="CE73" s="8100"/>
      <c r="CF73" s="8100"/>
      <c r="CG73" s="7330">
        <v>0</v>
      </c>
    </row>
    <row s="63225" customFormat="1" customHeight="1" ht="11.25">
      <c r="A74" s="6772"/>
      <c r="B74" s="6772"/>
      <c r="C74" s="6772"/>
      <c r="D74" s="6772"/>
      <c r="E74" s="8102">
        <v>1</v>
      </c>
      <c r="F74" s="8102"/>
      <c r="G74" s="8102"/>
      <c r="H74" s="8102"/>
      <c r="I74" s="7442"/>
      <c r="J74" s="7442"/>
      <c r="K74" s="7435"/>
      <c r="L74" s="6772"/>
      <c r="M74" s="8091"/>
      <c r="N74" s="7330"/>
      <c r="O74" s="7330"/>
      <c r="P74" s="7330"/>
      <c r="Q74" s="8113"/>
      <c r="R74" s="8113"/>
      <c r="S74" s="8113"/>
      <c r="T74" s="8120"/>
      <c r="U74" s="8134"/>
      <c r="V74" s="8135" t="s">
        <v>528</v>
      </c>
      <c r="W74" s="8136"/>
      <c r="X74" s="8137"/>
      <c r="Y74" s="8138"/>
      <c r="Z74" s="8139"/>
      <c r="AA74" s="8140"/>
      <c r="AB74" s="8141"/>
      <c r="AC74" s="7353"/>
      <c r="AD74" s="7351"/>
      <c r="AE74" s="7353"/>
      <c r="AF74" s="7351"/>
      <c r="AG74" s="8142"/>
      <c r="AH74" s="8143"/>
      <c r="AI74" s="8144"/>
      <c r="AJ74" s="8145"/>
      <c r="AK74" s="8146"/>
      <c r="AL74" s="7353"/>
      <c r="AM74" s="7351"/>
      <c r="AN74" s="7353"/>
      <c r="AO74" s="7351"/>
      <c r="AP74" s="8147"/>
      <c r="AQ74" s="8148"/>
      <c r="AR74" s="8149"/>
      <c r="AS74" s="8150"/>
      <c r="AT74" s="8151"/>
      <c r="AU74" s="7353"/>
      <c r="AV74" s="7351"/>
      <c r="AW74" s="7353"/>
      <c r="AX74" s="7351"/>
      <c r="AY74" s="8152"/>
      <c r="AZ74" s="8153"/>
      <c r="BA74" s="8154"/>
      <c r="BB74" s="8155"/>
      <c r="BC74" s="8156"/>
      <c r="BD74" s="7353"/>
      <c r="BE74" s="7351"/>
      <c r="BF74" s="7353"/>
      <c r="BG74" s="7351"/>
      <c r="BH74" s="8157"/>
      <c r="BI74" s="8158"/>
      <c r="BJ74" s="8159"/>
      <c r="BK74" s="8160"/>
      <c r="BL74" s="8161"/>
      <c r="BM74" s="7353"/>
      <c r="BN74" s="7351"/>
      <c r="BO74" s="7353"/>
      <c r="BP74" s="7351"/>
      <c r="BQ74" s="8162"/>
      <c r="BR74" s="8163"/>
      <c r="BS74" s="8164"/>
      <c r="BT74" s="8165"/>
      <c r="BU74" s="8166"/>
      <c r="BV74" s="7353"/>
      <c r="BW74" s="7351"/>
      <c r="BX74" s="7353"/>
      <c r="BY74" s="7351"/>
      <c r="BZ74" s="8167"/>
      <c r="CA74" s="8132"/>
      <c r="CB74" s="7433"/>
      <c r="CC74" s="8100"/>
      <c r="CD74" s="8100"/>
      <c r="CE74" s="8100"/>
      <c r="CF74" s="8100"/>
      <c r="CG74" s="7330">
        <v>0</v>
      </c>
    </row>
    <row s="63225" customFormat="1" customHeight="1" ht="15">
      <c r="A75" s="6772"/>
      <c r="B75" s="6772"/>
      <c r="C75" s="6772"/>
      <c r="D75" s="6772"/>
      <c r="E75" s="8102">
        <v>1</v>
      </c>
      <c r="F75" s="8102"/>
      <c r="G75" s="8102"/>
      <c r="H75" s="8102"/>
      <c r="I75" s="7442"/>
      <c r="J75" s="7435"/>
      <c r="K75" s="6772"/>
      <c r="L75" s="6772"/>
      <c r="M75" s="8091"/>
      <c r="N75" s="7330"/>
      <c r="O75" s="7330"/>
      <c r="P75" s="8093"/>
      <c r="Q75" s="8113"/>
      <c r="R75" s="8113"/>
      <c r="S75" s="8113"/>
      <c r="T75" s="8114"/>
      <c r="U75" s="8169"/>
      <c r="V75" s="8170" t="s">
        <v>486</v>
      </c>
      <c r="W75" s="8171"/>
      <c r="X75" s="8172"/>
      <c r="Y75" s="8173"/>
      <c r="Z75" s="8174"/>
      <c r="AA75" s="8175"/>
      <c r="AB75" s="8176"/>
      <c r="AC75" s="8177"/>
      <c r="AD75" s="8178"/>
      <c r="AE75" s="8179"/>
      <c r="AF75" s="8180"/>
      <c r="AG75" s="8181"/>
      <c r="AH75" s="8182"/>
      <c r="AI75" s="8183"/>
      <c r="AJ75" s="8184"/>
      <c r="AK75" s="8185"/>
      <c r="AL75" s="8186"/>
      <c r="AM75" s="8187"/>
      <c r="AN75" s="8188"/>
      <c r="AO75" s="8189"/>
      <c r="AP75" s="8190"/>
      <c r="AQ75" s="8191"/>
      <c r="AR75" s="8192"/>
      <c r="AS75" s="8193"/>
      <c r="AT75" s="8194"/>
      <c r="AU75" s="8195"/>
      <c r="AV75" s="8196"/>
      <c r="AW75" s="8197"/>
      <c r="AX75" s="8198"/>
      <c r="AY75" s="8199"/>
      <c r="AZ75" s="8200"/>
      <c r="BA75" s="8201"/>
      <c r="BB75" s="8202"/>
      <c r="BC75" s="8203"/>
      <c r="BD75" s="8204"/>
      <c r="BE75" s="8205"/>
      <c r="BF75" s="8206"/>
      <c r="BG75" s="8207"/>
      <c r="BH75" s="8208"/>
      <c r="BI75" s="8209"/>
      <c r="BJ75" s="8210"/>
      <c r="BK75" s="8211"/>
      <c r="BL75" s="8212"/>
      <c r="BM75" s="8213"/>
      <c r="BN75" s="8214"/>
      <c r="BO75" s="8215"/>
      <c r="BP75" s="8216"/>
      <c r="BQ75" s="8217"/>
      <c r="BR75" s="8218"/>
      <c r="BS75" s="8219"/>
      <c r="BT75" s="8220"/>
      <c r="BU75" s="8221"/>
      <c r="BV75" s="8222"/>
      <c r="BW75" s="8223"/>
      <c r="BX75" s="8224"/>
      <c r="BY75" s="8225"/>
      <c r="BZ75" s="8226"/>
      <c r="CA75" s="8227"/>
      <c r="CB75" s="7433"/>
      <c r="CC75" s="8100"/>
      <c r="CD75" s="8100" t="str">
        <f>IF(V75="","",V75)</f>
        <v>Добавить вид теплоносителя (параметры теплоносителя)</v>
      </c>
      <c r="CE75" s="8100"/>
      <c r="CF75" s="8100"/>
      <c r="CG75" s="7330">
        <v>0</v>
      </c>
    </row>
    <row s="63225" customFormat="1" customHeight="1" ht="11.25">
      <c r="A76" s="6772"/>
      <c r="B76" s="6772"/>
      <c r="C76" s="6772"/>
      <c r="D76" s="6772"/>
      <c r="E76" s="8102">
        <v>1</v>
      </c>
      <c r="F76" s="8102"/>
      <c r="G76" s="8102"/>
      <c r="H76" s="8102"/>
      <c r="I76" s="7435"/>
      <c r="J76" s="6772"/>
      <c r="K76" s="6772"/>
      <c r="L76" s="6772"/>
      <c r="M76" s="8091"/>
      <c r="N76" s="7330"/>
      <c r="O76" s="8093"/>
      <c r="P76" s="8093"/>
      <c r="Q76" s="8113"/>
      <c r="R76" s="8113"/>
      <c r="S76" s="8113"/>
      <c r="T76" s="8114"/>
      <c r="U76" s="8229"/>
      <c r="V76" s="8230" t="s">
        <v>487</v>
      </c>
      <c r="W76" s="8231"/>
      <c r="X76" s="8232"/>
      <c r="Y76" s="8233"/>
      <c r="Z76" s="8234"/>
      <c r="AA76" s="8235"/>
      <c r="AB76" s="8236"/>
      <c r="AC76" s="8237"/>
      <c r="AD76" s="8238"/>
      <c r="AE76" s="8239"/>
      <c r="AF76" s="8240"/>
      <c r="AG76" s="8241"/>
      <c r="AH76" s="8242"/>
      <c r="AI76" s="8243"/>
      <c r="AJ76" s="8244"/>
      <c r="AK76" s="8245"/>
      <c r="AL76" s="8246"/>
      <c r="AM76" s="8247"/>
      <c r="AN76" s="8248"/>
      <c r="AO76" s="8249"/>
      <c r="AP76" s="8250"/>
      <c r="AQ76" s="8251"/>
      <c r="AR76" s="8252"/>
      <c r="AS76" s="8253"/>
      <c r="AT76" s="8254"/>
      <c r="AU76" s="8255"/>
      <c r="AV76" s="8256"/>
      <c r="AW76" s="8257"/>
      <c r="AX76" s="8258"/>
      <c r="AY76" s="8259"/>
      <c r="AZ76" s="8260"/>
      <c r="BA76" s="8261"/>
      <c r="BB76" s="8262"/>
      <c r="BC76" s="8263"/>
      <c r="BD76" s="8264"/>
      <c r="BE76" s="8265"/>
      <c r="BF76" s="8266"/>
      <c r="BG76" s="8267"/>
      <c r="BH76" s="8268"/>
      <c r="BI76" s="8269"/>
      <c r="BJ76" s="8270"/>
      <c r="BK76" s="8271"/>
      <c r="BL76" s="8272"/>
      <c r="BM76" s="8273"/>
      <c r="BN76" s="8274"/>
      <c r="BO76" s="8275"/>
      <c r="BP76" s="8276"/>
      <c r="BQ76" s="8277"/>
      <c r="BR76" s="8278"/>
      <c r="BS76" s="8279"/>
      <c r="BT76" s="8280"/>
      <c r="BU76" s="8281"/>
      <c r="BV76" s="8282"/>
      <c r="BW76" s="8283"/>
      <c r="BX76" s="8284"/>
      <c r="BY76" s="8285"/>
      <c r="BZ76" s="8286"/>
      <c r="CA76" s="8287"/>
      <c r="CB76" s="7433"/>
      <c r="CC76" s="8100"/>
      <c r="CD76" s="8100" t="str">
        <f>IF(V76="","",V76)</f>
        <v>Добавить группу потребителей</v>
      </c>
      <c r="CE76" s="8100"/>
      <c r="CF76" s="8100"/>
      <c r="CG76" s="7330">
        <v>0</v>
      </c>
    </row>
    <row s="63225" customFormat="1" customHeight="1" ht="0">
      <c r="A77" s="6772"/>
      <c r="B77" s="6772"/>
      <c r="C77" s="6772"/>
      <c r="D77" s="6772"/>
      <c r="E77" s="8102">
        <v>1</v>
      </c>
      <c r="F77" s="8102"/>
      <c r="G77" s="8102"/>
      <c r="H77" s="8090"/>
      <c r="I77" s="6772"/>
      <c r="J77" s="6772"/>
      <c r="K77" s="6772"/>
      <c r="L77" s="6772"/>
      <c r="M77" s="8091"/>
      <c r="N77" s="8092"/>
      <c r="O77" s="8092"/>
      <c r="P77" s="7330"/>
      <c r="Q77" s="8094"/>
      <c r="R77" s="8289"/>
      <c r="S77" s="8095"/>
      <c r="T77" s="8094"/>
      <c r="U77" s="8290"/>
      <c r="V77" s="8291"/>
      <c r="W77" s="7421"/>
      <c r="X77" s="7421"/>
      <c r="Y77" s="7421"/>
      <c r="Z77" s="7421"/>
      <c r="AA77" s="7421"/>
      <c r="AB77" s="7421"/>
      <c r="AC77" s="7421"/>
      <c r="AD77" s="7421"/>
      <c r="AE77" s="7421"/>
      <c r="AF77" s="7421"/>
      <c r="AG77" s="7421"/>
      <c r="AH77" s="7421"/>
      <c r="AI77" s="7421"/>
      <c r="AJ77" s="7421"/>
      <c r="AK77" s="7421"/>
      <c r="AL77" s="7421"/>
      <c r="AM77" s="7421"/>
      <c r="AN77" s="7421"/>
      <c r="AO77" s="7421"/>
      <c r="AP77" s="7421"/>
      <c r="AQ77" s="7421"/>
      <c r="AR77" s="7421"/>
      <c r="AS77" s="7421"/>
      <c r="AT77" s="7421"/>
      <c r="AU77" s="7421"/>
      <c r="AV77" s="7421"/>
      <c r="AW77" s="7421"/>
      <c r="AX77" s="7421"/>
      <c r="AY77" s="7421"/>
      <c r="AZ77" s="7421"/>
      <c r="BA77" s="7421"/>
      <c r="BB77" s="7421"/>
      <c r="BC77" s="7421"/>
      <c r="BD77" s="7421"/>
      <c r="BE77" s="7421"/>
      <c r="BF77" s="7421"/>
      <c r="BG77" s="7421"/>
      <c r="BH77" s="7421"/>
      <c r="BI77" s="7421"/>
      <c r="BJ77" s="7421"/>
      <c r="BK77" s="7421"/>
      <c r="BL77" s="7421"/>
      <c r="BM77" s="7421"/>
      <c r="BN77" s="7421"/>
      <c r="BO77" s="7421"/>
      <c r="BP77" s="7421"/>
      <c r="BQ77" s="7421"/>
      <c r="BR77" s="7421"/>
      <c r="BS77" s="7421"/>
      <c r="BT77" s="7421"/>
      <c r="BU77" s="7421"/>
      <c r="BV77" s="7421"/>
      <c r="BW77" s="7421"/>
      <c r="BX77" s="7421"/>
      <c r="BY77" s="7421"/>
      <c r="BZ77" s="7421"/>
      <c r="CA77" s="8292"/>
      <c r="CB77" s="7433"/>
      <c r="CC77" s="8100"/>
      <c r="CD77" s="8100" t="str">
        <f>IF(V77="","",V77)</f>
        <v/>
      </c>
      <c r="CE77" s="8100"/>
      <c r="CF77" s="8100"/>
      <c r="CG77" s="7330">
        <v>0</v>
      </c>
    </row>
    <row s="61685" customFormat="1" customHeight="1" ht="0">
      <c r="A78" s="8294"/>
      <c r="B78" s="8294"/>
      <c r="C78" s="8294"/>
      <c r="D78" s="8294"/>
      <c r="E78" s="8102">
        <v>1</v>
      </c>
      <c r="F78" s="8102"/>
      <c r="G78" s="8090"/>
      <c r="H78" s="8294"/>
      <c r="I78" s="8294"/>
      <c r="J78" s="8294"/>
      <c r="K78" s="8294"/>
      <c r="L78" s="8294"/>
      <c r="M78" s="8295"/>
      <c r="N78" s="8296"/>
      <c r="O78" s="8296"/>
      <c r="P78" s="8297"/>
      <c r="Q78" s="8298"/>
      <c r="R78" s="8299"/>
      <c r="S78" s="8298"/>
      <c r="T78" s="8298"/>
      <c r="U78" s="8300"/>
      <c r="V78" s="8301" t="s">
        <v>171</v>
      </c>
      <c r="W78" s="7423"/>
      <c r="X78" s="7423"/>
      <c r="Y78" s="7423"/>
      <c r="Z78" s="7423"/>
      <c r="AA78" s="7423"/>
      <c r="AB78" s="7423"/>
      <c r="AC78" s="7423"/>
      <c r="AD78" s="7423"/>
      <c r="AE78" s="7423"/>
      <c r="AF78" s="7423"/>
      <c r="AG78" s="7423"/>
      <c r="AH78" s="7423"/>
      <c r="AI78" s="7423"/>
      <c r="AJ78" s="7423"/>
      <c r="AK78" s="7423"/>
      <c r="AL78" s="7423"/>
      <c r="AM78" s="7423"/>
      <c r="AN78" s="7423"/>
      <c r="AO78" s="7423"/>
      <c r="AP78" s="7423"/>
      <c r="AQ78" s="7423"/>
      <c r="AR78" s="7423"/>
      <c r="AS78" s="7423"/>
      <c r="AT78" s="7423"/>
      <c r="AU78" s="7423"/>
      <c r="AV78" s="7423"/>
      <c r="AW78" s="7423"/>
      <c r="AX78" s="7423"/>
      <c r="AY78" s="7423"/>
      <c r="AZ78" s="7423"/>
      <c r="BA78" s="7423"/>
      <c r="BB78" s="7423"/>
      <c r="BC78" s="7423"/>
      <c r="BD78" s="7423"/>
      <c r="BE78" s="7423"/>
      <c r="BF78" s="7423"/>
      <c r="BG78" s="7423"/>
      <c r="BH78" s="7423"/>
      <c r="BI78" s="7423"/>
      <c r="BJ78" s="7423"/>
      <c r="BK78" s="7423"/>
      <c r="BL78" s="7423"/>
      <c r="BM78" s="7423"/>
      <c r="BN78" s="7423"/>
      <c r="BO78" s="7423"/>
      <c r="BP78" s="7423"/>
      <c r="BQ78" s="7423"/>
      <c r="BR78" s="7423"/>
      <c r="BS78" s="7423"/>
      <c r="BT78" s="7423"/>
      <c r="BU78" s="7423"/>
      <c r="BV78" s="7423"/>
      <c r="BW78" s="7423"/>
      <c r="BX78" s="7423"/>
      <c r="BY78" s="7423"/>
      <c r="BZ78" s="7423"/>
      <c r="CA78" s="7423"/>
      <c r="CB78" s="7433"/>
      <c r="CC78" s="8100"/>
      <c r="CD78" s="8100" t="str">
        <f>IF(V78="","",V78)</f>
        <v>Добавить источник для дифференциации</v>
      </c>
      <c r="CE78" s="8100"/>
      <c r="CF78" s="8100"/>
      <c r="CG78" s="7433">
        <v>0</v>
      </c>
    </row>
    <row s="61685" customFormat="1" customHeight="1" ht="0">
      <c r="A79" s="8294"/>
      <c r="B79" s="8294"/>
      <c r="C79" s="8294"/>
      <c r="D79" s="8294"/>
      <c r="E79" s="8102">
        <v>1</v>
      </c>
      <c r="F79" s="8090"/>
      <c r="G79" s="8294"/>
      <c r="H79" s="8294"/>
      <c r="I79" s="8294"/>
      <c r="J79" s="8294"/>
      <c r="K79" s="8294"/>
      <c r="L79" s="8294"/>
      <c r="M79" s="8295"/>
      <c r="N79" s="8303"/>
      <c r="O79" s="8303"/>
      <c r="P79" s="8297"/>
      <c r="Q79" s="8298"/>
      <c r="R79" s="8299"/>
      <c r="S79" s="8298"/>
      <c r="T79" s="8298"/>
      <c r="U79" s="8304"/>
      <c r="V79" s="8305" t="s">
        <v>172</v>
      </c>
      <c r="W79" s="7424"/>
      <c r="X79" s="7424"/>
      <c r="Y79" s="7424"/>
      <c r="Z79" s="7424"/>
      <c r="AA79" s="7424"/>
      <c r="AB79" s="7424"/>
      <c r="AC79" s="7424"/>
      <c r="AD79" s="7424"/>
      <c r="AE79" s="7424"/>
      <c r="AF79" s="7424"/>
      <c r="AG79" s="7424"/>
      <c r="AH79" s="7424"/>
      <c r="AI79" s="7424"/>
      <c r="AJ79" s="7424"/>
      <c r="AK79" s="7424"/>
      <c r="AL79" s="7424"/>
      <c r="AM79" s="7424"/>
      <c r="AN79" s="7424"/>
      <c r="AO79" s="7424"/>
      <c r="AP79" s="7424"/>
      <c r="AQ79" s="7424"/>
      <c r="AR79" s="7424"/>
      <c r="AS79" s="7424"/>
      <c r="AT79" s="7424"/>
      <c r="AU79" s="7424"/>
      <c r="AV79" s="7424"/>
      <c r="AW79" s="7424"/>
      <c r="AX79" s="7424"/>
      <c r="AY79" s="7424"/>
      <c r="AZ79" s="7424"/>
      <c r="BA79" s="7424"/>
      <c r="BB79" s="7424"/>
      <c r="BC79" s="7424"/>
      <c r="BD79" s="7424"/>
      <c r="BE79" s="7424"/>
      <c r="BF79" s="7424"/>
      <c r="BG79" s="7424"/>
      <c r="BH79" s="7424"/>
      <c r="BI79" s="7424"/>
      <c r="BJ79" s="7424"/>
      <c r="BK79" s="7424"/>
      <c r="BL79" s="7424"/>
      <c r="BM79" s="7424"/>
      <c r="BN79" s="7424"/>
      <c r="BO79" s="7424"/>
      <c r="BP79" s="7424"/>
      <c r="BQ79" s="7424"/>
      <c r="BR79" s="7424"/>
      <c r="BS79" s="7424"/>
      <c r="BT79" s="7424"/>
      <c r="BU79" s="7424"/>
      <c r="BV79" s="7424"/>
      <c r="BW79" s="7424"/>
      <c r="BX79" s="7424"/>
      <c r="BY79" s="7424"/>
      <c r="BZ79" s="7424"/>
      <c r="CA79" s="7424"/>
      <c r="CB79" s="7433"/>
      <c r="CC79" s="8100"/>
      <c r="CD79" s="8100" t="str">
        <f>IF(V79="","",V79)</f>
        <v>Добавить централизованную систему для дифференциации</v>
      </c>
      <c r="CE79" s="8100"/>
      <c r="CF79" s="8100"/>
      <c r="CG79" s="7433">
        <v>0</v>
      </c>
    </row>
    <row s="61685" customFormat="1" customHeight="1" ht="0">
      <c r="A80" s="8294"/>
      <c r="B80" s="8294"/>
      <c r="C80" s="8294"/>
      <c r="D80" s="8294"/>
      <c r="E80" s="8090">
        <v>1</v>
      </c>
      <c r="F80" s="8294"/>
      <c r="G80" s="8294"/>
      <c r="H80" s="8294"/>
      <c r="I80" s="8294"/>
      <c r="J80" s="8294"/>
      <c r="K80" s="8294"/>
      <c r="L80" s="8294"/>
      <c r="M80" s="8295"/>
      <c r="N80" s="8303"/>
      <c r="O80" s="8303"/>
      <c r="P80" s="8297"/>
      <c r="Q80" s="8298"/>
      <c r="R80" s="8299"/>
      <c r="S80" s="8298"/>
      <c r="T80" s="8298"/>
      <c r="U80" s="8304"/>
      <c r="V80" s="8307" t="s">
        <v>173</v>
      </c>
      <c r="W80" s="7424"/>
      <c r="X80" s="7424"/>
      <c r="Y80" s="7424"/>
      <c r="Z80" s="7424"/>
      <c r="AA80" s="7424"/>
      <c r="AB80" s="7424"/>
      <c r="AC80" s="7424"/>
      <c r="AD80" s="7424"/>
      <c r="AE80" s="7424"/>
      <c r="AF80" s="7424"/>
      <c r="AG80" s="7424"/>
      <c r="AH80" s="7424"/>
      <c r="AI80" s="7424"/>
      <c r="AJ80" s="7424"/>
      <c r="AK80" s="7424"/>
      <c r="AL80" s="7424"/>
      <c r="AM80" s="7424"/>
      <c r="AN80" s="7424"/>
      <c r="AO80" s="7424"/>
      <c r="AP80" s="7424"/>
      <c r="AQ80" s="7424"/>
      <c r="AR80" s="7424"/>
      <c r="AS80" s="7424"/>
      <c r="AT80" s="7424"/>
      <c r="AU80" s="7424"/>
      <c r="AV80" s="7424"/>
      <c r="AW80" s="7424"/>
      <c r="AX80" s="7424"/>
      <c r="AY80" s="7424"/>
      <c r="AZ80" s="7424"/>
      <c r="BA80" s="7424"/>
      <c r="BB80" s="7424"/>
      <c r="BC80" s="7424"/>
      <c r="BD80" s="7424"/>
      <c r="BE80" s="7424"/>
      <c r="BF80" s="7424"/>
      <c r="BG80" s="7424"/>
      <c r="BH80" s="7424"/>
      <c r="BI80" s="7424"/>
      <c r="BJ80" s="7424"/>
      <c r="BK80" s="7424"/>
      <c r="BL80" s="7424"/>
      <c r="BM80" s="7424"/>
      <c r="BN80" s="7424"/>
      <c r="BO80" s="7424"/>
      <c r="BP80" s="7424"/>
      <c r="BQ80" s="7424"/>
      <c r="BR80" s="7424"/>
      <c r="BS80" s="7424"/>
      <c r="BT80" s="7424"/>
      <c r="BU80" s="7424"/>
      <c r="BV80" s="7424"/>
      <c r="BW80" s="7424"/>
      <c r="BX80" s="7424"/>
      <c r="BY80" s="7424"/>
      <c r="BZ80" s="7424"/>
      <c r="CA80" s="7424"/>
      <c r="CB80" s="7433"/>
      <c r="CC80" s="8100"/>
      <c r="CD80" s="8100" t="str">
        <f>IF(V80="","",V80)</f>
        <v>Добавить территорию для дифференциации</v>
      </c>
      <c r="CE80" s="8100"/>
      <c r="CF80" s="8100"/>
      <c r="CG80" s="7433">
        <v>0</v>
      </c>
    </row>
    <row s="63225" customFormat="1" customHeight="1" ht="21">
      <c r="A81" s="6772" t="s">
        <v>251</v>
      </c>
      <c r="B81" s="6772"/>
      <c r="C81" s="6772"/>
      <c r="D81" s="6772"/>
      <c r="E81" s="8090" t="s">
        <v>91</v>
      </c>
      <c r="F81" s="6772"/>
      <c r="G81" s="6772"/>
      <c r="H81" s="6772"/>
      <c r="I81" s="6772"/>
      <c r="J81" s="6772"/>
      <c r="K81" s="6772"/>
      <c r="L81" s="6772"/>
      <c r="M81" s="8091"/>
      <c r="N81" s="8092"/>
      <c r="O81" s="8092"/>
      <c r="P81" s="8092"/>
      <c r="Q81" s="8093"/>
      <c r="R81" s="8094"/>
      <c r="S81" s="8094"/>
      <c r="T81" s="8095"/>
      <c r="U81" s="8096" t="str">
        <f>INDEX(PT_DIFFERENTIATION_NUM_NTAR,MATCH(A81,PT_DIFFERENTIATION_NTAR_ID,0))</f>
        <v>3</v>
      </c>
      <c r="V81" s="8097" t="s">
        <v>131</v>
      </c>
      <c r="W81" s="8098"/>
      <c r="X81" s="7331"/>
      <c r="Y81" s="7332"/>
      <c r="Z81" s="7332"/>
      <c r="AA81" s="7332"/>
      <c r="AB81" s="7332"/>
      <c r="AC81" s="7332"/>
      <c r="AD81" s="7332"/>
      <c r="AE81" s="7332"/>
      <c r="AF81" s="7333"/>
      <c r="AG81" s="7331" t="str">
        <f>INDEX(PT_DIFFERENTIATION_NTAR,MATCH(A81,PT_DIFFERENTIATION_NTAR_ID,0))</f>
        <v>Тарифы на горячую воду в открытых системах теплоснабжения (горячего водоснабжения) на территории Партизанского городского округа</v>
      </c>
      <c r="AH81" s="7332"/>
      <c r="AI81" s="7332"/>
      <c r="AJ81" s="7332"/>
      <c r="AK81" s="7332"/>
      <c r="AL81" s="7332"/>
      <c r="AM81" s="7332"/>
      <c r="AN81" s="7332"/>
      <c r="AO81" s="7332"/>
      <c r="AP81" s="7331"/>
      <c r="AQ81" s="7332"/>
      <c r="AR81" s="7332"/>
      <c r="AS81" s="7332"/>
      <c r="AT81" s="7332"/>
      <c r="AU81" s="7332"/>
      <c r="AV81" s="7332"/>
      <c r="AW81" s="7332"/>
      <c r="AX81" s="7333"/>
      <c r="AY81" s="7331"/>
      <c r="AZ81" s="7332"/>
      <c r="BA81" s="7332"/>
      <c r="BB81" s="7332"/>
      <c r="BC81" s="7332"/>
      <c r="BD81" s="7332"/>
      <c r="BE81" s="7332"/>
      <c r="BF81" s="7332"/>
      <c r="BG81" s="7333"/>
      <c r="BH81" s="7331"/>
      <c r="BI81" s="7332"/>
      <c r="BJ81" s="7332"/>
      <c r="BK81" s="7332"/>
      <c r="BL81" s="7332"/>
      <c r="BM81" s="7332"/>
      <c r="BN81" s="7332"/>
      <c r="BO81" s="7332"/>
      <c r="BP81" s="7333"/>
      <c r="BQ81" s="7331"/>
      <c r="BR81" s="7332"/>
      <c r="BS81" s="7332"/>
      <c r="BT81" s="7332"/>
      <c r="BU81" s="7332"/>
      <c r="BV81" s="7332"/>
      <c r="BW81" s="7332"/>
      <c r="BX81" s="7332"/>
      <c r="BY81" s="7333"/>
      <c r="BZ81" s="7333"/>
      <c r="CA81" s="8099" t="s">
        <v>471</v>
      </c>
      <c r="CB81" s="7433"/>
      <c r="CC81" s="8100"/>
      <c r="CD81" s="8100" t="str">
        <f>IF(V81="","",V81)</f>
        <v>Наименование тарифа</v>
      </c>
      <c r="CE81" s="8100"/>
      <c r="CF81" s="8100"/>
      <c r="CG81" s="7330">
        <v>0</v>
      </c>
    </row>
    <row s="63225" customFormat="1" customHeight="1" ht="21">
      <c r="A82" s="6772"/>
      <c r="B82" s="6772" t="s">
        <v>252</v>
      </c>
      <c r="C82" s="6772"/>
      <c r="D82" s="6772"/>
      <c r="E82" s="8102" t="s">
        <v>103</v>
      </c>
      <c r="F82" s="8090">
        <v>1</v>
      </c>
      <c r="G82" s="6772"/>
      <c r="H82" s="6772"/>
      <c r="I82" s="6772"/>
      <c r="J82" s="6772"/>
      <c r="K82" s="6772"/>
      <c r="L82" s="6772"/>
      <c r="M82" s="8091"/>
      <c r="N82" s="8092"/>
      <c r="O82" s="8092"/>
      <c r="P82" s="8092"/>
      <c r="Q82" s="8103"/>
      <c r="R82" s="8104"/>
      <c r="S82" s="7330"/>
      <c r="T82" s="8105"/>
      <c r="U82" s="8096" t="str">
        <f>INDEX(PT_DIFFERENTIATION_NUM_TER,MATCH(B82,PT_DIFFERENTIATION_TER_ID,0))</f>
        <v>3.1</v>
      </c>
      <c r="V82" s="8106" t="s">
        <v>472</v>
      </c>
      <c r="W82" s="8098"/>
      <c r="X82" s="7331"/>
      <c r="Y82" s="7332"/>
      <c r="Z82" s="7332"/>
      <c r="AA82" s="7332"/>
      <c r="AB82" s="7332"/>
      <c r="AC82" s="7332"/>
      <c r="AD82" s="7332"/>
      <c r="AE82" s="7332"/>
      <c r="AF82" s="7333"/>
      <c r="AG82" s="7331" t="str">
        <f>INDEX(PT_DIFFERENTIATION_TER,MATCH(B82,PT_DIFFERENTIATION_TER_ID,0))</f>
        <v>Территория 3</v>
      </c>
      <c r="AH82" s="7332"/>
      <c r="AI82" s="7332"/>
      <c r="AJ82" s="7332"/>
      <c r="AK82" s="7332"/>
      <c r="AL82" s="7332"/>
      <c r="AM82" s="7332"/>
      <c r="AN82" s="7332"/>
      <c r="AO82" s="7332"/>
      <c r="AP82" s="7331"/>
      <c r="AQ82" s="7332"/>
      <c r="AR82" s="7332"/>
      <c r="AS82" s="7332"/>
      <c r="AT82" s="7332"/>
      <c r="AU82" s="7332"/>
      <c r="AV82" s="7332"/>
      <c r="AW82" s="7332"/>
      <c r="AX82" s="7333"/>
      <c r="AY82" s="7331"/>
      <c r="AZ82" s="7332"/>
      <c r="BA82" s="7332"/>
      <c r="BB82" s="7332"/>
      <c r="BC82" s="7332"/>
      <c r="BD82" s="7332"/>
      <c r="BE82" s="7332"/>
      <c r="BF82" s="7332"/>
      <c r="BG82" s="7333"/>
      <c r="BH82" s="7331"/>
      <c r="BI82" s="7332"/>
      <c r="BJ82" s="7332"/>
      <c r="BK82" s="7332"/>
      <c r="BL82" s="7332"/>
      <c r="BM82" s="7332"/>
      <c r="BN82" s="7332"/>
      <c r="BO82" s="7332"/>
      <c r="BP82" s="7333"/>
      <c r="BQ82" s="7331"/>
      <c r="BR82" s="7332"/>
      <c r="BS82" s="7332"/>
      <c r="BT82" s="7332"/>
      <c r="BU82" s="7332"/>
      <c r="BV82" s="7332"/>
      <c r="BW82" s="7332"/>
      <c r="BX82" s="7332"/>
      <c r="BY82" s="7333"/>
      <c r="BZ82" s="7333"/>
      <c r="CA82" s="8099" t="s">
        <v>473</v>
      </c>
      <c r="CB82" s="7433"/>
      <c r="CC82" s="8100"/>
      <c r="CD82" s="8100" t="str">
        <f>IF(V82="","",V82)</f>
        <v>Территория действия тарифа</v>
      </c>
      <c r="CE82" s="8100"/>
      <c r="CF82" s="8100"/>
      <c r="CG82" s="7330">
        <v>0</v>
      </c>
    </row>
    <row s="63225" customFormat="1" customHeight="1" ht="22.5">
      <c r="A83" s="6772"/>
      <c r="B83" s="6772"/>
      <c r="C83" s="6772" t="s">
        <v>253</v>
      </c>
      <c r="D83" s="6772"/>
      <c r="E83" s="8102" t="s">
        <v>103</v>
      </c>
      <c r="F83" s="8102"/>
      <c r="G83" s="8090">
        <v>1</v>
      </c>
      <c r="H83" s="6772"/>
      <c r="I83" s="6772"/>
      <c r="J83" s="6772"/>
      <c r="K83" s="6772"/>
      <c r="L83" s="6772"/>
      <c r="M83" s="8091"/>
      <c r="N83" s="8092"/>
      <c r="O83" s="8092"/>
      <c r="P83" s="8092"/>
      <c r="Q83" s="8108"/>
      <c r="R83" s="8104"/>
      <c r="S83" s="7330"/>
      <c r="T83" s="8105"/>
      <c r="U83" s="8096" t="str">
        <f>INDEX(PT_DIFFERENTIATION_NUM_CS,MATCH(C83,PT_DIFFERENTIATION_CS_ID,0))</f>
        <v>3.1.1</v>
      </c>
      <c r="V83" s="8109" t="s">
        <v>474</v>
      </c>
      <c r="W83" s="8098"/>
      <c r="X83" s="7331"/>
      <c r="Y83" s="7332"/>
      <c r="Z83" s="7332"/>
      <c r="AA83" s="7332"/>
      <c r="AB83" s="7332"/>
      <c r="AC83" s="7332"/>
      <c r="AD83" s="7332"/>
      <c r="AE83" s="7332"/>
      <c r="AF83" s="7333"/>
      <c r="AG83" s="7331" t="str">
        <f>INDEX(PT_DIFFERENTIATION_CS,MATCH(C83,PT_DIFFERENTIATION_CS_ID,0))</f>
        <v>без дифференциации</v>
      </c>
      <c r="AH83" s="7332"/>
      <c r="AI83" s="7332"/>
      <c r="AJ83" s="7332"/>
      <c r="AK83" s="7332"/>
      <c r="AL83" s="7332"/>
      <c r="AM83" s="7332"/>
      <c r="AN83" s="7332"/>
      <c r="AO83" s="7332"/>
      <c r="AP83" s="7331"/>
      <c r="AQ83" s="7332"/>
      <c r="AR83" s="7332"/>
      <c r="AS83" s="7332"/>
      <c r="AT83" s="7332"/>
      <c r="AU83" s="7332"/>
      <c r="AV83" s="7332"/>
      <c r="AW83" s="7332"/>
      <c r="AX83" s="7333"/>
      <c r="AY83" s="7331"/>
      <c r="AZ83" s="7332"/>
      <c r="BA83" s="7332"/>
      <c r="BB83" s="7332"/>
      <c r="BC83" s="7332"/>
      <c r="BD83" s="7332"/>
      <c r="BE83" s="7332"/>
      <c r="BF83" s="7332"/>
      <c r="BG83" s="7333"/>
      <c r="BH83" s="7331"/>
      <c r="BI83" s="7332"/>
      <c r="BJ83" s="7332"/>
      <c r="BK83" s="7332"/>
      <c r="BL83" s="7332"/>
      <c r="BM83" s="7332"/>
      <c r="BN83" s="7332"/>
      <c r="BO83" s="7332"/>
      <c r="BP83" s="7333"/>
      <c r="BQ83" s="7331"/>
      <c r="BR83" s="7332"/>
      <c r="BS83" s="7332"/>
      <c r="BT83" s="7332"/>
      <c r="BU83" s="7332"/>
      <c r="BV83" s="7332"/>
      <c r="BW83" s="7332"/>
      <c r="BX83" s="7332"/>
      <c r="BY83" s="7333"/>
      <c r="BZ83" s="7333"/>
      <c r="CA83" s="8099" t="s">
        <v>475</v>
      </c>
      <c r="CB83" s="7433"/>
      <c r="CC83" s="8100"/>
      <c r="CD83" s="8100" t="str">
        <f>IF(V83="","",V83)</f>
        <v>Наименование системы теплоснабжения </v>
      </c>
      <c r="CE83" s="8100"/>
      <c r="CF83" s="8100"/>
      <c r="CG83" s="7330">
        <v>0</v>
      </c>
    </row>
    <row s="63225" customFormat="1" customHeight="1" ht="21">
      <c r="A84" s="6772"/>
      <c r="B84" s="6772"/>
      <c r="C84" s="6772"/>
      <c r="D84" s="6772" t="s">
        <v>254</v>
      </c>
      <c r="E84" s="8102" t="s">
        <v>103</v>
      </c>
      <c r="F84" s="8102"/>
      <c r="G84" s="8102"/>
      <c r="H84" s="8090">
        <v>1</v>
      </c>
      <c r="I84" s="6772"/>
      <c r="J84" s="6772"/>
      <c r="K84" s="6772"/>
      <c r="L84" s="6772"/>
      <c r="M84" s="8091"/>
      <c r="N84" s="8092"/>
      <c r="O84" s="8092"/>
      <c r="P84" s="8092"/>
      <c r="Q84" s="8108"/>
      <c r="R84" s="8104"/>
      <c r="S84" s="7330"/>
      <c r="T84" s="8105"/>
      <c r="U84" s="8096" t="str">
        <f>INDEX(PT_DIFFERENTIATION_NUM_IST_TE,MATCH(D84,PT_DIFFERENTIATION_IST_TE_ID,0))</f>
        <v>3.1.1.1</v>
      </c>
      <c r="V84" s="8111" t="s">
        <v>476</v>
      </c>
      <c r="W84" s="8098"/>
      <c r="X84" s="7331"/>
      <c r="Y84" s="7332"/>
      <c r="Z84" s="7332"/>
      <c r="AA84" s="7332"/>
      <c r="AB84" s="7332"/>
      <c r="AC84" s="7332"/>
      <c r="AD84" s="7332"/>
      <c r="AE84" s="7332"/>
      <c r="AF84" s="7333"/>
      <c r="AG84" s="7331" t="str">
        <f>INDEX(PT_DIFFERENTIATION_IST_TE,MATCH(D84,PT_DIFFERENTIATION_IST_TE_ID,0))</f>
        <v>без дифференциации</v>
      </c>
      <c r="AH84" s="7332"/>
      <c r="AI84" s="7332"/>
      <c r="AJ84" s="7332"/>
      <c r="AK84" s="7332"/>
      <c r="AL84" s="7332"/>
      <c r="AM84" s="7332"/>
      <c r="AN84" s="7332"/>
      <c r="AO84" s="7332"/>
      <c r="AP84" s="7331"/>
      <c r="AQ84" s="7332"/>
      <c r="AR84" s="7332"/>
      <c r="AS84" s="7332"/>
      <c r="AT84" s="7332"/>
      <c r="AU84" s="7332"/>
      <c r="AV84" s="7332"/>
      <c r="AW84" s="7332"/>
      <c r="AX84" s="7333"/>
      <c r="AY84" s="7331"/>
      <c r="AZ84" s="7332"/>
      <c r="BA84" s="7332"/>
      <c r="BB84" s="7332"/>
      <c r="BC84" s="7332"/>
      <c r="BD84" s="7332"/>
      <c r="BE84" s="7332"/>
      <c r="BF84" s="7332"/>
      <c r="BG84" s="7333"/>
      <c r="BH84" s="7331"/>
      <c r="BI84" s="7332"/>
      <c r="BJ84" s="7332"/>
      <c r="BK84" s="7332"/>
      <c r="BL84" s="7332"/>
      <c r="BM84" s="7332"/>
      <c r="BN84" s="7332"/>
      <c r="BO84" s="7332"/>
      <c r="BP84" s="7333"/>
      <c r="BQ84" s="7331"/>
      <c r="BR84" s="7332"/>
      <c r="BS84" s="7332"/>
      <c r="BT84" s="7332"/>
      <c r="BU84" s="7332"/>
      <c r="BV84" s="7332"/>
      <c r="BW84" s="7332"/>
      <c r="BX84" s="7332"/>
      <c r="BY84" s="7333"/>
      <c r="BZ84" s="7333"/>
      <c r="CA84" s="8099" t="s">
        <v>477</v>
      </c>
      <c r="CB84" s="7433"/>
      <c r="CC84" s="8100"/>
      <c r="CD84" s="8100" t="str">
        <f>IF(V84="","",V84)</f>
        <v>Источник тепловой энергии  </v>
      </c>
      <c r="CE84" s="8100"/>
      <c r="CF84" s="8100"/>
      <c r="CG84" s="7330">
        <v>0</v>
      </c>
    </row>
    <row s="63225" customFormat="1" customHeight="1" ht="14.25">
      <c r="A85" s="6772"/>
      <c r="B85" s="6772"/>
      <c r="C85" s="6772"/>
      <c r="D85" s="6772"/>
      <c r="E85" s="8102" t="s">
        <v>103</v>
      </c>
      <c r="F85" s="8102"/>
      <c r="G85" s="8102"/>
      <c r="H85" s="8102"/>
      <c r="I85" s="7435" t="str">
        <f>U84&amp;".1"</f>
        <v>3.1.1.1.1</v>
      </c>
      <c r="J85" s="6772"/>
      <c r="K85" s="6772"/>
      <c r="L85" s="6772"/>
      <c r="M85" s="8091" t="s">
        <v>478</v>
      </c>
      <c r="N85" s="7330"/>
      <c r="O85" s="8093"/>
      <c r="P85" s="8093"/>
      <c r="Q85" s="8113">
        <v>1</v>
      </c>
      <c r="R85" s="8113"/>
      <c r="S85" s="8113"/>
      <c r="T85" s="8114"/>
      <c r="U85" s="8115"/>
      <c r="V85" s="8116"/>
      <c r="W85" s="8117"/>
      <c r="X85" s="7340"/>
      <c r="Y85" s="7341"/>
      <c r="Z85" s="7341"/>
      <c r="AA85" s="7341"/>
      <c r="AB85" s="7341"/>
      <c r="AC85" s="7341"/>
      <c r="AD85" s="7341"/>
      <c r="AE85" s="7341"/>
      <c r="AF85" s="7342"/>
      <c r="AG85" s="7340"/>
      <c r="AH85" s="7341"/>
      <c r="AI85" s="7341"/>
      <c r="AJ85" s="7341"/>
      <c r="AK85" s="7341"/>
      <c r="AL85" s="7341"/>
      <c r="AM85" s="7341"/>
      <c r="AN85" s="7341"/>
      <c r="AO85" s="7341"/>
      <c r="AP85" s="7340"/>
      <c r="AQ85" s="7341"/>
      <c r="AR85" s="7341"/>
      <c r="AS85" s="7341"/>
      <c r="AT85" s="7341"/>
      <c r="AU85" s="7341"/>
      <c r="AV85" s="7341"/>
      <c r="AW85" s="7341"/>
      <c r="AX85" s="7342"/>
      <c r="AY85" s="7340"/>
      <c r="AZ85" s="7341"/>
      <c r="BA85" s="7341"/>
      <c r="BB85" s="7341"/>
      <c r="BC85" s="7341"/>
      <c r="BD85" s="7341"/>
      <c r="BE85" s="7341"/>
      <c r="BF85" s="7341"/>
      <c r="BG85" s="7342"/>
      <c r="BH85" s="7340"/>
      <c r="BI85" s="7341"/>
      <c r="BJ85" s="7341"/>
      <c r="BK85" s="7341"/>
      <c r="BL85" s="7341"/>
      <c r="BM85" s="7341"/>
      <c r="BN85" s="7341"/>
      <c r="BO85" s="7341"/>
      <c r="BP85" s="7342"/>
      <c r="BQ85" s="7340"/>
      <c r="BR85" s="7341"/>
      <c r="BS85" s="7341"/>
      <c r="BT85" s="7341"/>
      <c r="BU85" s="7341"/>
      <c r="BV85" s="7341"/>
      <c r="BW85" s="7341"/>
      <c r="BX85" s="7341"/>
      <c r="BY85" s="7342"/>
      <c r="BZ85" s="7342"/>
      <c r="CA85" s="8118"/>
      <c r="CB85" s="7433"/>
      <c r="CC85" s="8100"/>
      <c r="CD85" s="8100" t="str">
        <f>IF(V85="","",V85)</f>
        <v/>
      </c>
      <c r="CE85" s="8100"/>
      <c r="CF85" s="8100"/>
      <c r="CG85" s="7330">
        <v>0</v>
      </c>
    </row>
    <row s="63225" customFormat="1" customHeight="1" ht="21">
      <c r="A86" s="6772"/>
      <c r="B86" s="6772"/>
      <c r="C86" s="6772"/>
      <c r="D86" s="6772"/>
      <c r="E86" s="8102" t="s">
        <v>103</v>
      </c>
      <c r="F86" s="8102"/>
      <c r="G86" s="8102"/>
      <c r="H86" s="8102"/>
      <c r="I86" s="7442"/>
      <c r="J86" s="7435" t="str">
        <f>I85&amp;".1"</f>
        <v>3.1.1.1.1.1</v>
      </c>
      <c r="K86" s="6772"/>
      <c r="L86" s="6772"/>
      <c r="M86" s="8091" t="s">
        <v>481</v>
      </c>
      <c r="N86" s="7330"/>
      <c r="O86" s="7330"/>
      <c r="P86" s="8093"/>
      <c r="Q86" s="8113"/>
      <c r="R86" s="8113">
        <v>1</v>
      </c>
      <c r="S86" s="7433"/>
      <c r="T86" s="8120"/>
      <c r="U86" s="8096" t="str">
        <f>$J86</f>
        <v>3.1.1.1.1.1</v>
      </c>
      <c r="V86" s="8121" t="s">
        <v>482</v>
      </c>
      <c r="W86" s="8098"/>
      <c r="X86" s="7344"/>
      <c r="Y86" s="7345"/>
      <c r="Z86" s="7345"/>
      <c r="AA86" s="7345"/>
      <c r="AB86" s="7345"/>
      <c r="AC86" s="7854"/>
      <c r="AD86" s="7854"/>
      <c r="AE86" s="7854"/>
      <c r="AF86" s="7855"/>
      <c r="AG86" s="7344" t="s">
        <v>521</v>
      </c>
      <c r="AH86" s="7345"/>
      <c r="AI86" s="7345"/>
      <c r="AJ86" s="7345"/>
      <c r="AK86" s="7345"/>
      <c r="AL86" s="7345"/>
      <c r="AM86" s="7345"/>
      <c r="AN86" s="7345"/>
      <c r="AO86" s="7345"/>
      <c r="AP86" s="7344"/>
      <c r="AQ86" s="7345"/>
      <c r="AR86" s="7345"/>
      <c r="AS86" s="7345"/>
      <c r="AT86" s="7345"/>
      <c r="AU86" s="7854"/>
      <c r="AV86" s="7854"/>
      <c r="AW86" s="7854"/>
      <c r="AX86" s="7855"/>
      <c r="AY86" s="7344"/>
      <c r="AZ86" s="7345"/>
      <c r="BA86" s="7345"/>
      <c r="BB86" s="7345"/>
      <c r="BC86" s="7345"/>
      <c r="BD86" s="7854"/>
      <c r="BE86" s="7854"/>
      <c r="BF86" s="7854"/>
      <c r="BG86" s="7855"/>
      <c r="BH86" s="7344"/>
      <c r="BI86" s="7345"/>
      <c r="BJ86" s="7345"/>
      <c r="BK86" s="7345"/>
      <c r="BL86" s="7345"/>
      <c r="BM86" s="7854"/>
      <c r="BN86" s="7854"/>
      <c r="BO86" s="7854"/>
      <c r="BP86" s="7855"/>
      <c r="BQ86" s="7344"/>
      <c r="BR86" s="7345"/>
      <c r="BS86" s="7345"/>
      <c r="BT86" s="7345"/>
      <c r="BU86" s="7345"/>
      <c r="BV86" s="7854"/>
      <c r="BW86" s="7854"/>
      <c r="BX86" s="7854"/>
      <c r="BY86" s="7855"/>
      <c r="BZ86" s="7346"/>
      <c r="CA86" s="8099" t="s">
        <v>483</v>
      </c>
      <c r="CB86" s="7433"/>
      <c r="CC86" s="8100"/>
      <c r="CD86" s="8100" t="str">
        <f>IF(V86="","",V86)</f>
        <v>Группа потребителей</v>
      </c>
      <c r="CE86" s="8100"/>
      <c r="CF86" s="8100"/>
      <c r="CG86" s="7330">
        <v>0</v>
      </c>
    </row>
    <row s="63225" customFormat="1" customHeight="1" ht="21">
      <c r="A87" s="6772"/>
      <c r="B87" s="6772"/>
      <c r="C87" s="6772"/>
      <c r="D87" s="6772"/>
      <c r="E87" s="8102" t="s">
        <v>103</v>
      </c>
      <c r="F87" s="8102"/>
      <c r="G87" s="8102"/>
      <c r="H87" s="8102"/>
      <c r="I87" s="7442"/>
      <c r="J87" s="7442"/>
      <c r="K87" s="7435" t="str">
        <f>J86&amp;".1"</f>
        <v>3.1.1.1.1.1.1</v>
      </c>
      <c r="L87" s="8103"/>
      <c r="M87" s="8091" t="s">
        <v>484</v>
      </c>
      <c r="N87" s="7330"/>
      <c r="O87" s="7330"/>
      <c r="P87" s="7330"/>
      <c r="Q87" s="8113"/>
      <c r="R87" s="8113"/>
      <c r="S87" s="8113">
        <v>1</v>
      </c>
      <c r="T87" s="8120"/>
      <c r="U87" s="8096" t="str">
        <f>$K87</f>
        <v>3.1.1.1.1.1.1</v>
      </c>
      <c r="V87" s="8123" t="s">
        <v>522</v>
      </c>
      <c r="W87" s="8098"/>
      <c r="X87" s="7347"/>
      <c r="Y87" s="7347"/>
      <c r="Z87" s="7347"/>
      <c r="AA87" s="7347"/>
      <c r="AB87" s="7859"/>
      <c r="AC87" s="7350"/>
      <c r="AD87" s="7351" t="s">
        <v>67</v>
      </c>
      <c r="AE87" s="7350"/>
      <c r="AF87" s="7351" t="s">
        <v>67</v>
      </c>
      <c r="AG87" s="8124"/>
      <c r="AH87" s="7347">
        <v>59.35</v>
      </c>
      <c r="AI87" s="7347">
        <v>10806.25</v>
      </c>
      <c r="AJ87" s="7347"/>
      <c r="AK87" s="7349"/>
      <c r="AL87" s="7350">
        <v>45292</v>
      </c>
      <c r="AM87" s="7351" t="s">
        <v>67</v>
      </c>
      <c r="AN87" s="7350">
        <v>45657</v>
      </c>
      <c r="AO87" s="7351" t="s">
        <v>67</v>
      </c>
      <c r="AP87" s="7347"/>
      <c r="AQ87" s="7347">
        <f>'ТС. Т-ТН'!AL77</f>
        <v>38.14</v>
      </c>
      <c r="AR87" s="7347">
        <f>'ТС. Т-ТЭ | ТСО'!AL77</f>
        <v>14816.91</v>
      </c>
      <c r="AS87" s="7347"/>
      <c r="AT87" s="7859"/>
      <c r="AU87" s="7350">
        <v>45658</v>
      </c>
      <c r="AV87" s="7351" t="s">
        <v>67</v>
      </c>
      <c r="AW87" s="7350">
        <v>46022</v>
      </c>
      <c r="AX87" s="7351" t="s">
        <v>67</v>
      </c>
      <c r="AY87" s="7347"/>
      <c r="AZ87" s="7347">
        <f>'ТС. Т-ТН'!AT77</f>
        <v>54.8</v>
      </c>
      <c r="BA87" s="7347">
        <v>14131.45</v>
      </c>
      <c r="BB87" s="7347"/>
      <c r="BC87" s="7859"/>
      <c r="BD87" s="7350">
        <v>46023</v>
      </c>
      <c r="BE87" s="7351" t="s">
        <v>67</v>
      </c>
      <c r="BF87" s="7350">
        <v>46387</v>
      </c>
      <c r="BG87" s="7351" t="s">
        <v>67</v>
      </c>
      <c r="BH87" s="7347"/>
      <c r="BI87" s="7347">
        <v>50.2</v>
      </c>
      <c r="BJ87" s="7347">
        <v>9392.84</v>
      </c>
      <c r="BK87" s="7347"/>
      <c r="BL87" s="7859"/>
      <c r="BM87" s="7350">
        <v>46388</v>
      </c>
      <c r="BN87" s="7351" t="s">
        <v>67</v>
      </c>
      <c r="BO87" s="7350">
        <v>46752</v>
      </c>
      <c r="BP87" s="7351" t="s">
        <v>67</v>
      </c>
      <c r="BQ87" s="7347"/>
      <c r="BR87" s="7347">
        <v>51.64</v>
      </c>
      <c r="BS87" s="7347">
        <v>9677.7</v>
      </c>
      <c r="BT87" s="7347"/>
      <c r="BU87" s="7859"/>
      <c r="BV87" s="7350">
        <v>46753</v>
      </c>
      <c r="BW87" s="7351" t="s">
        <v>67</v>
      </c>
      <c r="BX87" s="7350">
        <v>47118</v>
      </c>
      <c r="BY87" s="7351" t="s">
        <v>67</v>
      </c>
      <c r="BZ87" s="7348"/>
      <c r="CA87" s="8125" t="s">
        <v>526</v>
      </c>
      <c r="CB87" s="7433">
        <f>STRCHECKDATE(X89:BZ89)</f>
      </c>
      <c r="CC87" s="8100"/>
      <c r="CD87" s="8100" t="str">
        <f>IF(V87="","",V87)</f>
        <v>вода</v>
      </c>
      <c r="CE87" s="8100"/>
      <c r="CF87" s="8100"/>
      <c r="CG87" s="7330">
        <v>0</v>
      </c>
    </row>
    <row s="63225" customFormat="1" customHeight="1" ht="0">
      <c r="A88" s="6772"/>
      <c r="B88" s="6772"/>
      <c r="C88" s="6772"/>
      <c r="D88" s="6772"/>
      <c r="E88" s="8102" t="s">
        <v>103</v>
      </c>
      <c r="F88" s="8102"/>
      <c r="G88" s="8102"/>
      <c r="H88" s="8102"/>
      <c r="I88" s="7442"/>
      <c r="J88" s="7442"/>
      <c r="K88" s="7442"/>
      <c r="L88" s="7435" t="str">
        <f>K87&amp;".1"</f>
        <v>3.1.1.1.1.1.1.1</v>
      </c>
      <c r="M88" s="8091"/>
      <c r="N88" s="7330"/>
      <c r="O88" s="7330"/>
      <c r="P88" s="7330"/>
      <c r="Q88" s="8113"/>
      <c r="R88" s="8113"/>
      <c r="S88" s="8113"/>
      <c r="T88" s="8120"/>
      <c r="U88" s="8096" t="str">
        <f>$L88</f>
        <v>3.1.1.1.1.1.1.1</v>
      </c>
      <c r="V88" s="8127"/>
      <c r="W88" s="8098"/>
      <c r="X88" s="7348"/>
      <c r="Y88" s="7347"/>
      <c r="Z88" s="7347"/>
      <c r="AA88" s="7347"/>
      <c r="AB88" s="7859"/>
      <c r="AC88" s="7353"/>
      <c r="AD88" s="7351"/>
      <c r="AE88" s="7353"/>
      <c r="AF88" s="7351"/>
      <c r="AG88" s="8124"/>
      <c r="AH88" s="7347"/>
      <c r="AI88" s="7347"/>
      <c r="AJ88" s="7347"/>
      <c r="AK88" s="7349"/>
      <c r="AL88" s="7353"/>
      <c r="AM88" s="7351"/>
      <c r="AN88" s="7353"/>
      <c r="AO88" s="7351"/>
      <c r="AP88" s="7348"/>
      <c r="AQ88" s="7347"/>
      <c r="AR88" s="7347"/>
      <c r="AS88" s="7347"/>
      <c r="AT88" s="7859"/>
      <c r="AU88" s="7353"/>
      <c r="AV88" s="7351"/>
      <c r="AW88" s="7353"/>
      <c r="AX88" s="7351"/>
      <c r="AY88" s="7348"/>
      <c r="AZ88" s="7347"/>
      <c r="BA88" s="7347"/>
      <c r="BB88" s="7347"/>
      <c r="BC88" s="7859"/>
      <c r="BD88" s="7353"/>
      <c r="BE88" s="7351"/>
      <c r="BF88" s="7353"/>
      <c r="BG88" s="7351"/>
      <c r="BH88" s="7348"/>
      <c r="BI88" s="7347"/>
      <c r="BJ88" s="7347"/>
      <c r="BK88" s="7347"/>
      <c r="BL88" s="7859"/>
      <c r="BM88" s="7353"/>
      <c r="BN88" s="7351"/>
      <c r="BO88" s="7353"/>
      <c r="BP88" s="7351"/>
      <c r="BQ88" s="7348"/>
      <c r="BR88" s="7347"/>
      <c r="BS88" s="7347"/>
      <c r="BT88" s="7347"/>
      <c r="BU88" s="7859"/>
      <c r="BV88" s="7353"/>
      <c r="BW88" s="7351"/>
      <c r="BX88" s="7353"/>
      <c r="BY88" s="7351"/>
      <c r="BZ88" s="7348"/>
      <c r="CA88" s="8128" t="s">
        <v>527</v>
      </c>
      <c r="CB88" s="7433"/>
      <c r="CC88" s="8100"/>
      <c r="CD88" s="8100"/>
      <c r="CE88" s="8100"/>
      <c r="CF88" s="8100"/>
      <c r="CG88" s="7330">
        <v>0</v>
      </c>
    </row>
    <row s="63225" customFormat="1" customHeight="1" ht="0.75">
      <c r="A89" s="6772"/>
      <c r="B89" s="6772"/>
      <c r="C89" s="6772"/>
      <c r="D89" s="6772"/>
      <c r="E89" s="8102" t="s">
        <v>103</v>
      </c>
      <c r="F89" s="8102"/>
      <c r="G89" s="8102"/>
      <c r="H89" s="8102"/>
      <c r="I89" s="7442"/>
      <c r="J89" s="7442"/>
      <c r="K89" s="7442"/>
      <c r="L89" s="7435"/>
      <c r="M89" s="8091"/>
      <c r="N89" s="7330"/>
      <c r="O89" s="7330"/>
      <c r="P89" s="7330"/>
      <c r="Q89" s="8113"/>
      <c r="R89" s="8113"/>
      <c r="S89" s="8113"/>
      <c r="T89" s="8120"/>
      <c r="U89" s="8130"/>
      <c r="V89" s="8098"/>
      <c r="W89" s="8098"/>
      <c r="X89" s="7348"/>
      <c r="Y89" s="7348"/>
      <c r="Z89" s="7348"/>
      <c r="AA89" s="7348"/>
      <c r="AB89" s="7865" t="str">
        <f>AC87&amp;"-"&amp;AE87</f>
        <v>-</v>
      </c>
      <c r="AC89" s="7353"/>
      <c r="AD89" s="7351"/>
      <c r="AE89" s="7353"/>
      <c r="AF89" s="7351"/>
      <c r="AG89" s="8131"/>
      <c r="AH89" s="7348"/>
      <c r="AI89" s="7348"/>
      <c r="AJ89" s="7348"/>
      <c r="AK89" s="7352" t="str">
        <f>AL87&amp;"-"&amp;AN87</f>
        <v>45292-45657</v>
      </c>
      <c r="AL89" s="7353"/>
      <c r="AM89" s="7351"/>
      <c r="AN89" s="7353"/>
      <c r="AO89" s="7351"/>
      <c r="AP89" s="7348"/>
      <c r="AQ89" s="7348"/>
      <c r="AR89" s="7348"/>
      <c r="AS89" s="7348"/>
      <c r="AT89" s="7865" t="str">
        <f>AU87&amp;"-"&amp;AW87</f>
        <v>45658-46022</v>
      </c>
      <c r="AU89" s="7353"/>
      <c r="AV89" s="7351"/>
      <c r="AW89" s="7353"/>
      <c r="AX89" s="7351"/>
      <c r="AY89" s="7348"/>
      <c r="AZ89" s="7348"/>
      <c r="BA89" s="7348"/>
      <c r="BB89" s="7348"/>
      <c r="BC89" s="7865" t="str">
        <f>BD87&amp;"-"&amp;BF87</f>
        <v>46023-46387</v>
      </c>
      <c r="BD89" s="7353"/>
      <c r="BE89" s="7351"/>
      <c r="BF89" s="7353"/>
      <c r="BG89" s="7351"/>
      <c r="BH89" s="7348"/>
      <c r="BI89" s="7348"/>
      <c r="BJ89" s="7348"/>
      <c r="BK89" s="7348"/>
      <c r="BL89" s="7865" t="str">
        <f>BM87&amp;"-"&amp;BO87</f>
        <v>46388-46752</v>
      </c>
      <c r="BM89" s="7353"/>
      <c r="BN89" s="7351"/>
      <c r="BO89" s="7353"/>
      <c r="BP89" s="7351"/>
      <c r="BQ89" s="7348"/>
      <c r="BR89" s="7348"/>
      <c r="BS89" s="7348"/>
      <c r="BT89" s="7348"/>
      <c r="BU89" s="7865" t="str">
        <f>BV87&amp;"-"&amp;BX87</f>
        <v>46753-47118</v>
      </c>
      <c r="BV89" s="7353"/>
      <c r="BW89" s="7351"/>
      <c r="BX89" s="7353"/>
      <c r="BY89" s="7351"/>
      <c r="BZ89" s="7348"/>
      <c r="CA89" s="8132"/>
      <c r="CB89" s="7433"/>
      <c r="CC89" s="8100"/>
      <c r="CD89" s="8100" t="str">
        <f>IF(V89="","",V89)</f>
        <v/>
      </c>
      <c r="CE89" s="8100"/>
      <c r="CF89" s="8100"/>
      <c r="CG89" s="7330">
        <v>0</v>
      </c>
    </row>
    <row s="63225" customFormat="1" customHeight="1" ht="11.25">
      <c r="A90" s="6772"/>
      <c r="B90" s="6772"/>
      <c r="C90" s="6772"/>
      <c r="D90" s="6772"/>
      <c r="E90" s="8102" t="s">
        <v>103</v>
      </c>
      <c r="F90" s="8102"/>
      <c r="G90" s="8102"/>
      <c r="H90" s="8102"/>
      <c r="I90" s="7442"/>
      <c r="J90" s="7442"/>
      <c r="K90" s="7435"/>
      <c r="L90" s="6772"/>
      <c r="M90" s="8091"/>
      <c r="N90" s="7330"/>
      <c r="O90" s="7330"/>
      <c r="P90" s="7330"/>
      <c r="Q90" s="8113"/>
      <c r="R90" s="8113"/>
      <c r="S90" s="8113"/>
      <c r="T90" s="8120"/>
      <c r="U90" s="8318"/>
      <c r="V90" s="8319" t="s">
        <v>528</v>
      </c>
      <c r="W90" s="8320"/>
      <c r="X90" s="8321"/>
      <c r="Y90" s="8322"/>
      <c r="Z90" s="8323"/>
      <c r="AA90" s="8324"/>
      <c r="AB90" s="8325"/>
      <c r="AC90" s="7353"/>
      <c r="AD90" s="7351"/>
      <c r="AE90" s="7353"/>
      <c r="AF90" s="7351"/>
      <c r="AG90" s="8326"/>
      <c r="AH90" s="8327"/>
      <c r="AI90" s="8328"/>
      <c r="AJ90" s="8329"/>
      <c r="AK90" s="8330"/>
      <c r="AL90" s="7353"/>
      <c r="AM90" s="7351"/>
      <c r="AN90" s="7353"/>
      <c r="AO90" s="7351"/>
      <c r="AP90" s="8331"/>
      <c r="AQ90" s="8332"/>
      <c r="AR90" s="8333"/>
      <c r="AS90" s="8334"/>
      <c r="AT90" s="8335"/>
      <c r="AU90" s="7353"/>
      <c r="AV90" s="7351"/>
      <c r="AW90" s="7353"/>
      <c r="AX90" s="7351"/>
      <c r="AY90" s="8336"/>
      <c r="AZ90" s="8337"/>
      <c r="BA90" s="8338"/>
      <c r="BB90" s="8339"/>
      <c r="BC90" s="8340"/>
      <c r="BD90" s="7353"/>
      <c r="BE90" s="7351"/>
      <c r="BF90" s="7353"/>
      <c r="BG90" s="7351"/>
      <c r="BH90" s="8341"/>
      <c r="BI90" s="8342"/>
      <c r="BJ90" s="8343"/>
      <c r="BK90" s="8344"/>
      <c r="BL90" s="8345"/>
      <c r="BM90" s="7353"/>
      <c r="BN90" s="7351"/>
      <c r="BO90" s="7353"/>
      <c r="BP90" s="7351"/>
      <c r="BQ90" s="8346"/>
      <c r="BR90" s="8347"/>
      <c r="BS90" s="8348"/>
      <c r="BT90" s="8349"/>
      <c r="BU90" s="8350"/>
      <c r="BV90" s="7353"/>
      <c r="BW90" s="7351"/>
      <c r="BX90" s="7353"/>
      <c r="BY90" s="7351"/>
      <c r="BZ90" s="8351"/>
      <c r="CA90" s="8132"/>
      <c r="CB90" s="7433"/>
      <c r="CC90" s="8100"/>
      <c r="CD90" s="8100"/>
      <c r="CE90" s="8100"/>
      <c r="CF90" s="8100"/>
      <c r="CG90" s="7330">
        <v>0</v>
      </c>
    </row>
    <row s="63225" customFormat="1" customHeight="1" ht="15">
      <c r="A91" s="6772"/>
      <c r="B91" s="6772"/>
      <c r="C91" s="6772"/>
      <c r="D91" s="6772"/>
      <c r="E91" s="8102" t="s">
        <v>103</v>
      </c>
      <c r="F91" s="8102"/>
      <c r="G91" s="8102"/>
      <c r="H91" s="8102"/>
      <c r="I91" s="7442"/>
      <c r="J91" s="7435"/>
      <c r="K91" s="6772"/>
      <c r="L91" s="6772"/>
      <c r="M91" s="8091"/>
      <c r="N91" s="7330"/>
      <c r="O91" s="7330"/>
      <c r="P91" s="8093"/>
      <c r="Q91" s="8113"/>
      <c r="R91" s="8113"/>
      <c r="S91" s="8113"/>
      <c r="T91" s="8114"/>
      <c r="U91" s="8353"/>
      <c r="V91" s="8354" t="s">
        <v>486</v>
      </c>
      <c r="W91" s="8355"/>
      <c r="X91" s="8356"/>
      <c r="Y91" s="8357"/>
      <c r="Z91" s="8358"/>
      <c r="AA91" s="8359"/>
      <c r="AB91" s="8360"/>
      <c r="AC91" s="8361"/>
      <c r="AD91" s="8362"/>
      <c r="AE91" s="8363"/>
      <c r="AF91" s="8364"/>
      <c r="AG91" s="8365"/>
      <c r="AH91" s="8366"/>
      <c r="AI91" s="8367"/>
      <c r="AJ91" s="8368"/>
      <c r="AK91" s="8369"/>
      <c r="AL91" s="8370"/>
      <c r="AM91" s="8371"/>
      <c r="AN91" s="8372"/>
      <c r="AO91" s="8373"/>
      <c r="AP91" s="8374"/>
      <c r="AQ91" s="8375"/>
      <c r="AR91" s="8376"/>
      <c r="AS91" s="8377"/>
      <c r="AT91" s="8378"/>
      <c r="AU91" s="8379"/>
      <c r="AV91" s="8380"/>
      <c r="AW91" s="8381"/>
      <c r="AX91" s="8382"/>
      <c r="AY91" s="8383"/>
      <c r="AZ91" s="8384"/>
      <c r="BA91" s="8385"/>
      <c r="BB91" s="8386"/>
      <c r="BC91" s="8387"/>
      <c r="BD91" s="8388"/>
      <c r="BE91" s="8389"/>
      <c r="BF91" s="8390"/>
      <c r="BG91" s="8391"/>
      <c r="BH91" s="8392"/>
      <c r="BI91" s="8393"/>
      <c r="BJ91" s="8394"/>
      <c r="BK91" s="8395"/>
      <c r="BL91" s="8396"/>
      <c r="BM91" s="8397"/>
      <c r="BN91" s="8398"/>
      <c r="BO91" s="8399"/>
      <c r="BP91" s="8400"/>
      <c r="BQ91" s="8401"/>
      <c r="BR91" s="8402"/>
      <c r="BS91" s="8403"/>
      <c r="BT91" s="8404"/>
      <c r="BU91" s="8405"/>
      <c r="BV91" s="8406"/>
      <c r="BW91" s="8407"/>
      <c r="BX91" s="8408"/>
      <c r="BY91" s="8409"/>
      <c r="BZ91" s="8410"/>
      <c r="CA91" s="8227"/>
      <c r="CB91" s="7433"/>
      <c r="CC91" s="8100"/>
      <c r="CD91" s="8100" t="str">
        <f>IF(V91="","",V91)</f>
        <v>Добавить вид теплоносителя (параметры теплоносителя)</v>
      </c>
      <c r="CE91" s="8100"/>
      <c r="CF91" s="8100"/>
      <c r="CG91" s="7330">
        <v>0</v>
      </c>
    </row>
    <row s="63225" customFormat="1" customHeight="1" ht="11.25">
      <c r="A92" s="6772"/>
      <c r="B92" s="6772"/>
      <c r="C92" s="6772"/>
      <c r="D92" s="6772"/>
      <c r="E92" s="8102" t="s">
        <v>103</v>
      </c>
      <c r="F92" s="8102"/>
      <c r="G92" s="8102"/>
      <c r="H92" s="8102"/>
      <c r="I92" s="7435"/>
      <c r="J92" s="6772"/>
      <c r="K92" s="6772"/>
      <c r="L92" s="6772"/>
      <c r="M92" s="8091"/>
      <c r="N92" s="7330"/>
      <c r="O92" s="8093"/>
      <c r="P92" s="8093"/>
      <c r="Q92" s="8113"/>
      <c r="R92" s="8113"/>
      <c r="S92" s="8113"/>
      <c r="T92" s="8114"/>
      <c r="U92" s="8412"/>
      <c r="V92" s="8413" t="s">
        <v>487</v>
      </c>
      <c r="W92" s="8414"/>
      <c r="X92" s="8415"/>
      <c r="Y92" s="8416"/>
      <c r="Z92" s="8417"/>
      <c r="AA92" s="8418"/>
      <c r="AB92" s="8419"/>
      <c r="AC92" s="8420"/>
      <c r="AD92" s="8421"/>
      <c r="AE92" s="8422"/>
      <c r="AF92" s="8423"/>
      <c r="AG92" s="8424"/>
      <c r="AH92" s="8425"/>
      <c r="AI92" s="8426"/>
      <c r="AJ92" s="8427"/>
      <c r="AK92" s="8428"/>
      <c r="AL92" s="8429"/>
      <c r="AM92" s="8430"/>
      <c r="AN92" s="8431"/>
      <c r="AO92" s="8432"/>
      <c r="AP92" s="8433"/>
      <c r="AQ92" s="8434"/>
      <c r="AR92" s="8435"/>
      <c r="AS92" s="8436"/>
      <c r="AT92" s="8437"/>
      <c r="AU92" s="8438"/>
      <c r="AV92" s="8439"/>
      <c r="AW92" s="8440"/>
      <c r="AX92" s="8441"/>
      <c r="AY92" s="8442"/>
      <c r="AZ92" s="8443"/>
      <c r="BA92" s="8444"/>
      <c r="BB92" s="8445"/>
      <c r="BC92" s="8446"/>
      <c r="BD92" s="8447"/>
      <c r="BE92" s="8448"/>
      <c r="BF92" s="8449"/>
      <c r="BG92" s="8450"/>
      <c r="BH92" s="8451"/>
      <c r="BI92" s="8452"/>
      <c r="BJ92" s="8453"/>
      <c r="BK92" s="8454"/>
      <c r="BL92" s="8455"/>
      <c r="BM92" s="8456"/>
      <c r="BN92" s="8457"/>
      <c r="BO92" s="8458"/>
      <c r="BP92" s="8459"/>
      <c r="BQ92" s="8460"/>
      <c r="BR92" s="8461"/>
      <c r="BS92" s="8462"/>
      <c r="BT92" s="8463"/>
      <c r="BU92" s="8464"/>
      <c r="BV92" s="8465"/>
      <c r="BW92" s="8466"/>
      <c r="BX92" s="8467"/>
      <c r="BY92" s="8468"/>
      <c r="BZ92" s="8469"/>
      <c r="CA92" s="8470"/>
      <c r="CB92" s="7433"/>
      <c r="CC92" s="8100"/>
      <c r="CD92" s="8100" t="str">
        <f>IF(V92="","",V92)</f>
        <v>Добавить группу потребителей</v>
      </c>
      <c r="CE92" s="8100"/>
      <c r="CF92" s="8100"/>
      <c r="CG92" s="7330">
        <v>0</v>
      </c>
    </row>
    <row s="63225" customFormat="1" customHeight="1" ht="14.25">
      <c r="A93" s="6772"/>
      <c r="B93" s="6772"/>
      <c r="C93" s="6772"/>
      <c r="D93" s="6772"/>
      <c r="E93" s="8102" t="s">
        <v>103</v>
      </c>
      <c r="F93" s="8102"/>
      <c r="G93" s="8102"/>
      <c r="H93" s="8090"/>
      <c r="I93" s="6772"/>
      <c r="J93" s="6772"/>
      <c r="K93" s="6772"/>
      <c r="L93" s="6772"/>
      <c r="M93" s="8091"/>
      <c r="N93" s="8092"/>
      <c r="O93" s="8092"/>
      <c r="P93" s="7330"/>
      <c r="Q93" s="8094"/>
      <c r="R93" s="8289"/>
      <c r="S93" s="8095"/>
      <c r="T93" s="8094"/>
      <c r="U93" s="8290"/>
      <c r="V93" s="8291"/>
      <c r="W93" s="7421"/>
      <c r="X93" s="7421"/>
      <c r="Y93" s="7421"/>
      <c r="Z93" s="7421"/>
      <c r="AA93" s="7421"/>
      <c r="AB93" s="7421"/>
      <c r="AC93" s="7421"/>
      <c r="AD93" s="7421"/>
      <c r="AE93" s="7421"/>
      <c r="AF93" s="7421"/>
      <c r="AG93" s="7421"/>
      <c r="AH93" s="7421"/>
      <c r="AI93" s="7421"/>
      <c r="AJ93" s="7421"/>
      <c r="AK93" s="7421"/>
      <c r="AL93" s="7421"/>
      <c r="AM93" s="7421"/>
      <c r="AN93" s="7421"/>
      <c r="AO93" s="7421"/>
      <c r="AP93" s="7421"/>
      <c r="AQ93" s="7421"/>
      <c r="AR93" s="7421"/>
      <c r="AS93" s="7421"/>
      <c r="AT93" s="7421"/>
      <c r="AU93" s="7421"/>
      <c r="AV93" s="7421"/>
      <c r="AW93" s="7421"/>
      <c r="AX93" s="7421"/>
      <c r="AY93" s="7421"/>
      <c r="AZ93" s="7421"/>
      <c r="BA93" s="7421"/>
      <c r="BB93" s="7421"/>
      <c r="BC93" s="7421"/>
      <c r="BD93" s="7421"/>
      <c r="BE93" s="7421"/>
      <c r="BF93" s="7421"/>
      <c r="BG93" s="7421"/>
      <c r="BH93" s="7421"/>
      <c r="BI93" s="7421"/>
      <c r="BJ93" s="7421"/>
      <c r="BK93" s="7421"/>
      <c r="BL93" s="7421"/>
      <c r="BM93" s="7421"/>
      <c r="BN93" s="7421"/>
      <c r="BO93" s="7421"/>
      <c r="BP93" s="7421"/>
      <c r="BQ93" s="7421"/>
      <c r="BR93" s="7421"/>
      <c r="BS93" s="7421"/>
      <c r="BT93" s="7421"/>
      <c r="BU93" s="7421"/>
      <c r="BV93" s="7421"/>
      <c r="BW93" s="7421"/>
      <c r="BX93" s="7421"/>
      <c r="BY93" s="7421"/>
      <c r="BZ93" s="7421"/>
      <c r="CA93" s="8292"/>
      <c r="CB93" s="7433"/>
      <c r="CC93" s="8100"/>
      <c r="CD93" s="8100" t="str">
        <f>IF(V93="","",V93)</f>
        <v/>
      </c>
      <c r="CE93" s="8100"/>
      <c r="CF93" s="8100"/>
      <c r="CG93" s="7330">
        <v>0</v>
      </c>
    </row>
    <row s="61685" customFormat="1" customHeight="1" ht="14.25">
      <c r="A94" s="8294"/>
      <c r="B94" s="8294"/>
      <c r="C94" s="8294"/>
      <c r="D94" s="8294"/>
      <c r="E94" s="8102" t="s">
        <v>103</v>
      </c>
      <c r="F94" s="8102"/>
      <c r="G94" s="8090"/>
      <c r="H94" s="8294"/>
      <c r="I94" s="8294"/>
      <c r="J94" s="8294"/>
      <c r="K94" s="8294"/>
      <c r="L94" s="8294"/>
      <c r="M94" s="8295"/>
      <c r="N94" s="8296"/>
      <c r="O94" s="8296"/>
      <c r="P94" s="8297"/>
      <c r="Q94" s="8298"/>
      <c r="R94" s="8299"/>
      <c r="S94" s="8298"/>
      <c r="T94" s="8298"/>
      <c r="U94" s="8300"/>
      <c r="V94" s="8301" t="s">
        <v>171</v>
      </c>
      <c r="W94" s="7423"/>
      <c r="X94" s="7423"/>
      <c r="Y94" s="7423"/>
      <c r="Z94" s="7423"/>
      <c r="AA94" s="7423"/>
      <c r="AB94" s="7423"/>
      <c r="AC94" s="7423"/>
      <c r="AD94" s="7423"/>
      <c r="AE94" s="7423"/>
      <c r="AF94" s="7423"/>
      <c r="AG94" s="7423"/>
      <c r="AH94" s="7423"/>
      <c r="AI94" s="7423"/>
      <c r="AJ94" s="7423"/>
      <c r="AK94" s="7423"/>
      <c r="AL94" s="7423"/>
      <c r="AM94" s="7423"/>
      <c r="AN94" s="7423"/>
      <c r="AO94" s="7423"/>
      <c r="AP94" s="7423"/>
      <c r="AQ94" s="7423"/>
      <c r="AR94" s="7423"/>
      <c r="AS94" s="7423"/>
      <c r="AT94" s="7423"/>
      <c r="AU94" s="7423"/>
      <c r="AV94" s="7423"/>
      <c r="AW94" s="7423"/>
      <c r="AX94" s="7423"/>
      <c r="AY94" s="7423"/>
      <c r="AZ94" s="7423"/>
      <c r="BA94" s="7423"/>
      <c r="BB94" s="7423"/>
      <c r="BC94" s="7423"/>
      <c r="BD94" s="7423"/>
      <c r="BE94" s="7423"/>
      <c r="BF94" s="7423"/>
      <c r="BG94" s="7423"/>
      <c r="BH94" s="7423"/>
      <c r="BI94" s="7423"/>
      <c r="BJ94" s="7423"/>
      <c r="BK94" s="7423"/>
      <c r="BL94" s="7423"/>
      <c r="BM94" s="7423"/>
      <c r="BN94" s="7423"/>
      <c r="BO94" s="7423"/>
      <c r="BP94" s="7423"/>
      <c r="BQ94" s="7423"/>
      <c r="BR94" s="7423"/>
      <c r="BS94" s="7423"/>
      <c r="BT94" s="7423"/>
      <c r="BU94" s="7423"/>
      <c r="BV94" s="7423"/>
      <c r="BW94" s="7423"/>
      <c r="BX94" s="7423"/>
      <c r="BY94" s="7423"/>
      <c r="BZ94" s="7423"/>
      <c r="CA94" s="7423"/>
      <c r="CB94" s="7433"/>
      <c r="CC94" s="8100"/>
      <c r="CD94" s="8100" t="str">
        <f>IF(V94="","",V94)</f>
        <v>Добавить источник для дифференциации</v>
      </c>
      <c r="CE94" s="8100"/>
      <c r="CF94" s="8100"/>
      <c r="CG94" s="7433">
        <v>0</v>
      </c>
    </row>
    <row s="61685" customFormat="1" customHeight="1" ht="14.25">
      <c r="A95" s="8294"/>
      <c r="B95" s="8294"/>
      <c r="C95" s="8294"/>
      <c r="D95" s="8294"/>
      <c r="E95" s="8102" t="s">
        <v>103</v>
      </c>
      <c r="F95" s="8090"/>
      <c r="G95" s="8294"/>
      <c r="H95" s="8294"/>
      <c r="I95" s="8294"/>
      <c r="J95" s="8294"/>
      <c r="K95" s="8294"/>
      <c r="L95" s="8294"/>
      <c r="M95" s="8295"/>
      <c r="N95" s="8303"/>
      <c r="O95" s="8303"/>
      <c r="P95" s="8297"/>
      <c r="Q95" s="8298"/>
      <c r="R95" s="8299"/>
      <c r="S95" s="8298"/>
      <c r="T95" s="8298"/>
      <c r="U95" s="8304"/>
      <c r="V95" s="8305" t="s">
        <v>172</v>
      </c>
      <c r="W95" s="7424"/>
      <c r="X95" s="7424"/>
      <c r="Y95" s="7424"/>
      <c r="Z95" s="7424"/>
      <c r="AA95" s="7424"/>
      <c r="AB95" s="7424"/>
      <c r="AC95" s="7424"/>
      <c r="AD95" s="7424"/>
      <c r="AE95" s="7424"/>
      <c r="AF95" s="7424"/>
      <c r="AG95" s="7424"/>
      <c r="AH95" s="7424"/>
      <c r="AI95" s="7424"/>
      <c r="AJ95" s="7424"/>
      <c r="AK95" s="7424"/>
      <c r="AL95" s="7424"/>
      <c r="AM95" s="7424"/>
      <c r="AN95" s="7424"/>
      <c r="AO95" s="7424"/>
      <c r="AP95" s="7424"/>
      <c r="AQ95" s="7424"/>
      <c r="AR95" s="7424"/>
      <c r="AS95" s="7424"/>
      <c r="AT95" s="7424"/>
      <c r="AU95" s="7424"/>
      <c r="AV95" s="7424"/>
      <c r="AW95" s="7424"/>
      <c r="AX95" s="7424"/>
      <c r="AY95" s="7424"/>
      <c r="AZ95" s="7424"/>
      <c r="BA95" s="7424"/>
      <c r="BB95" s="7424"/>
      <c r="BC95" s="7424"/>
      <c r="BD95" s="7424"/>
      <c r="BE95" s="7424"/>
      <c r="BF95" s="7424"/>
      <c r="BG95" s="7424"/>
      <c r="BH95" s="7424"/>
      <c r="BI95" s="7424"/>
      <c r="BJ95" s="7424"/>
      <c r="BK95" s="7424"/>
      <c r="BL95" s="7424"/>
      <c r="BM95" s="7424"/>
      <c r="BN95" s="7424"/>
      <c r="BO95" s="7424"/>
      <c r="BP95" s="7424"/>
      <c r="BQ95" s="7424"/>
      <c r="BR95" s="7424"/>
      <c r="BS95" s="7424"/>
      <c r="BT95" s="7424"/>
      <c r="BU95" s="7424"/>
      <c r="BV95" s="7424"/>
      <c r="BW95" s="7424"/>
      <c r="BX95" s="7424"/>
      <c r="BY95" s="7424"/>
      <c r="BZ95" s="7424"/>
      <c r="CA95" s="7424"/>
      <c r="CB95" s="7433"/>
      <c r="CC95" s="8100"/>
      <c r="CD95" s="8100" t="str">
        <f>IF(V95="","",V95)</f>
        <v>Добавить централизованную систему для дифференциации</v>
      </c>
      <c r="CE95" s="8100"/>
      <c r="CF95" s="8100"/>
      <c r="CG95" s="7433">
        <v>0</v>
      </c>
    </row>
    <row s="61685" customFormat="1" customHeight="1" ht="14.25">
      <c r="A96" s="8294"/>
      <c r="B96" s="8294"/>
      <c r="C96" s="8294"/>
      <c r="D96" s="8294"/>
      <c r="E96" s="8090" t="s">
        <v>103</v>
      </c>
      <c r="F96" s="8294"/>
      <c r="G96" s="8294"/>
      <c r="H96" s="8294"/>
      <c r="I96" s="8294"/>
      <c r="J96" s="8294"/>
      <c r="K96" s="8294"/>
      <c r="L96" s="8294"/>
      <c r="M96" s="8295"/>
      <c r="N96" s="8303"/>
      <c r="O96" s="8303"/>
      <c r="P96" s="8297"/>
      <c r="Q96" s="8298"/>
      <c r="R96" s="8299"/>
      <c r="S96" s="8298"/>
      <c r="T96" s="8298"/>
      <c r="U96" s="8304"/>
      <c r="V96" s="8307" t="s">
        <v>173</v>
      </c>
      <c r="W96" s="7424"/>
      <c r="X96" s="7424"/>
      <c r="Y96" s="7424"/>
      <c r="Z96" s="7424"/>
      <c r="AA96" s="7424"/>
      <c r="AB96" s="7424"/>
      <c r="AC96" s="7424"/>
      <c r="AD96" s="7424"/>
      <c r="AE96" s="7424"/>
      <c r="AF96" s="7424"/>
      <c r="AG96" s="7424"/>
      <c r="AH96" s="7424"/>
      <c r="AI96" s="7424"/>
      <c r="AJ96" s="7424"/>
      <c r="AK96" s="7424"/>
      <c r="AL96" s="7424"/>
      <c r="AM96" s="7424"/>
      <c r="AN96" s="7424"/>
      <c r="AO96" s="7424"/>
      <c r="AP96" s="7424"/>
      <c r="AQ96" s="7424"/>
      <c r="AR96" s="7424"/>
      <c r="AS96" s="7424"/>
      <c r="AT96" s="7424"/>
      <c r="AU96" s="7424"/>
      <c r="AV96" s="7424"/>
      <c r="AW96" s="7424"/>
      <c r="AX96" s="7424"/>
      <c r="AY96" s="7424"/>
      <c r="AZ96" s="7424"/>
      <c r="BA96" s="7424"/>
      <c r="BB96" s="7424"/>
      <c r="BC96" s="7424"/>
      <c r="BD96" s="7424"/>
      <c r="BE96" s="7424"/>
      <c r="BF96" s="7424"/>
      <c r="BG96" s="7424"/>
      <c r="BH96" s="7424"/>
      <c r="BI96" s="7424"/>
      <c r="BJ96" s="7424"/>
      <c r="BK96" s="7424"/>
      <c r="BL96" s="7424"/>
      <c r="BM96" s="7424"/>
      <c r="BN96" s="7424"/>
      <c r="BO96" s="7424"/>
      <c r="BP96" s="7424"/>
      <c r="BQ96" s="7424"/>
      <c r="BR96" s="7424"/>
      <c r="BS96" s="7424"/>
      <c r="BT96" s="7424"/>
      <c r="BU96" s="7424"/>
      <c r="BV96" s="7424"/>
      <c r="BW96" s="7424"/>
      <c r="BX96" s="7424"/>
      <c r="BY96" s="7424"/>
      <c r="BZ96" s="7424"/>
      <c r="CA96" s="7424"/>
      <c r="CB96" s="7433"/>
      <c r="CC96" s="8100"/>
      <c r="CD96" s="8100" t="str">
        <f>IF(V96="","",V96)</f>
        <v>Добавить территорию для дифференциации</v>
      </c>
      <c r="CE96" s="8100"/>
      <c r="CF96" s="8100"/>
      <c r="CG96" s="7433">
        <v>0</v>
      </c>
    </row>
    <row s="61695" customFormat="1" customHeight="1" ht="4.2">
      <c r="A97" s="2066"/>
      <c r="B97" s="2066"/>
      <c r="C97" s="2066"/>
      <c r="D97" s="2066"/>
      <c r="E97" s="2067"/>
      <c r="F97" s="2066"/>
      <c r="G97" s="2066"/>
      <c r="H97" s="2066"/>
      <c r="I97" s="2066"/>
      <c r="J97" s="2066"/>
      <c r="K97" s="2066"/>
      <c r="L97" s="2066"/>
      <c r="M97" s="2069"/>
      <c r="N97" s="2071"/>
      <c r="O97" s="2071"/>
      <c r="P97" s="1043"/>
      <c r="Q97" s="2008"/>
      <c r="R97" s="2009"/>
      <c r="S97" s="2008"/>
      <c r="T97" s="2008"/>
      <c r="U97" s="2014"/>
      <c r="V97" s="2017" t="s">
        <v>186</v>
      </c>
      <c r="W97" s="2016"/>
      <c r="X97" s="2016"/>
      <c r="Y97" s="2016"/>
      <c r="Z97" s="2016"/>
      <c r="AA97" s="2016"/>
      <c r="AB97" s="2016"/>
      <c r="AC97" s="2016"/>
      <c r="AD97" s="2016"/>
      <c r="AE97" s="2016"/>
      <c r="AF97" s="2016"/>
      <c r="AG97" s="2016"/>
      <c r="AH97" s="2016"/>
      <c r="AI97" s="2016"/>
      <c r="AJ97" s="2016"/>
      <c r="AK97" s="2016"/>
      <c r="AL97" s="2016"/>
      <c r="AM97" s="2016"/>
      <c r="AN97" s="2016"/>
      <c r="AO97" s="2016"/>
      <c r="AP97" s="7424"/>
      <c r="AQ97" s="7424"/>
      <c r="AR97" s="7424"/>
      <c r="AS97" s="7424"/>
      <c r="AT97" s="7424"/>
      <c r="AU97" s="7424"/>
      <c r="AV97" s="7424"/>
      <c r="AW97" s="7424"/>
      <c r="AX97" s="7424"/>
      <c r="AY97" s="7424"/>
      <c r="AZ97" s="7424"/>
      <c r="BA97" s="7424"/>
      <c r="BB97" s="7424"/>
      <c r="BC97" s="7424"/>
      <c r="BD97" s="7424"/>
      <c r="BE97" s="7424"/>
      <c r="BF97" s="7424"/>
      <c r="BG97" s="7424"/>
      <c r="BH97" s="7424"/>
      <c r="BI97" s="7424"/>
      <c r="BJ97" s="7424"/>
      <c r="BK97" s="7424"/>
      <c r="BL97" s="7424"/>
      <c r="BM97" s="7424"/>
      <c r="BN97" s="7424"/>
      <c r="BO97" s="7424"/>
      <c r="BP97" s="7424"/>
      <c r="BQ97" s="7424"/>
      <c r="BR97" s="7424"/>
      <c r="BS97" s="7424"/>
      <c r="BT97" s="7424"/>
      <c r="BU97" s="7424"/>
      <c r="BV97" s="7424"/>
      <c r="BW97" s="7424"/>
      <c r="BX97" s="7424"/>
      <c r="BY97" s="7424"/>
      <c r="BZ97" s="2016"/>
      <c r="CA97" s="2016"/>
      <c r="CC97" s="1481"/>
      <c r="CD97" s="1481" t="str">
        <f>IF(V97="","",V97)</f>
        <v>Добавить наименование тарифа</v>
      </c>
      <c r="CE97" s="1481"/>
      <c r="CF97" s="1481"/>
      <c r="CG97" s="1210">
        <v>4</v>
      </c>
    </row>
    <row customHeight="1" ht="11.549999999999999">
      <c r="N98" s="1847"/>
      <c r="O98" s="1847"/>
      <c r="P98" s="1201"/>
      <c r="Q98" s="1847"/>
      <c r="R98" s="1847"/>
      <c r="S98" s="1847"/>
      <c r="T98" s="1847"/>
      <c r="U98" s="1847"/>
      <c r="AP98" s="7330"/>
      <c r="AQ98" s="7330"/>
      <c r="AR98" s="7330"/>
      <c r="AS98" s="7330"/>
      <c r="AT98" s="7330"/>
      <c r="AU98" s="7330"/>
      <c r="AV98" s="7330"/>
      <c r="AW98" s="7330"/>
      <c r="AX98" s="7330"/>
      <c r="AY98" s="7330"/>
      <c r="AZ98" s="7330"/>
      <c r="BA98" s="7330"/>
      <c r="BB98" s="7330"/>
      <c r="BC98" s="7330"/>
      <c r="BD98" s="7330"/>
      <c r="BE98" s="7330"/>
      <c r="BF98" s="7330"/>
      <c r="BG98" s="7330"/>
      <c r="BH98" s="7330"/>
      <c r="BI98" s="7330"/>
      <c r="BJ98" s="7330"/>
      <c r="BK98" s="7330"/>
      <c r="BL98" s="7330"/>
      <c r="BM98" s="7330"/>
      <c r="BN98" s="7330"/>
      <c r="BO98" s="7330"/>
      <c r="BP98" s="7330"/>
      <c r="BQ98" s="7330"/>
      <c r="BR98" s="7330"/>
      <c r="BS98" s="7330"/>
      <c r="BT98" s="7330"/>
      <c r="BU98" s="7330"/>
      <c r="BV98" s="7330"/>
      <c r="BW98" s="7330"/>
      <c r="BX98" s="7330"/>
      <c r="BY98" s="7330"/>
      <c r="CB98" s="1847"/>
      <c r="CC98" s="1847"/>
      <c r="CD98" s="1847"/>
      <c r="CE98" s="1847"/>
      <c r="CF98" s="1847"/>
      <c r="CG98" s="1847">
        <v>11</v>
      </c>
    </row>
    <row customHeight="1" ht="35.699999999999996">
      <c r="P99" s="1201"/>
      <c r="U99" s="1945"/>
      <c r="V99" s="2977"/>
      <c r="W99" s="2977"/>
      <c r="X99" s="2977"/>
      <c r="Y99" s="2977"/>
      <c r="Z99" s="2977"/>
      <c r="AA99" s="2977"/>
      <c r="AB99" s="2977"/>
      <c r="AC99" s="2977"/>
      <c r="AD99" s="2977"/>
      <c r="AE99" s="2977"/>
      <c r="AF99" s="2977"/>
      <c r="AG99" s="2977"/>
      <c r="AH99" s="2977"/>
      <c r="AI99" s="2977"/>
      <c r="AJ99" s="2977"/>
      <c r="AK99" s="2977"/>
      <c r="AL99" s="2977"/>
      <c r="AM99" s="2977"/>
      <c r="AN99" s="2977"/>
      <c r="AO99" s="2977"/>
      <c r="AP99" s="7829"/>
      <c r="AQ99" s="7829"/>
      <c r="AR99" s="7829"/>
      <c r="AS99" s="7829"/>
      <c r="AT99" s="7829"/>
      <c r="AU99" s="7829"/>
      <c r="AV99" s="7829"/>
      <c r="AW99" s="7829"/>
      <c r="AX99" s="7829"/>
      <c r="AY99" s="7829"/>
      <c r="AZ99" s="7829"/>
      <c r="BA99" s="7829"/>
      <c r="BB99" s="7829"/>
      <c r="BC99" s="7829"/>
      <c r="BD99" s="7829"/>
      <c r="BE99" s="7829"/>
      <c r="BF99" s="7829"/>
      <c r="BG99" s="7829"/>
      <c r="BH99" s="7829"/>
      <c r="BI99" s="7829"/>
      <c r="BJ99" s="7829"/>
      <c r="BK99" s="7829"/>
      <c r="BL99" s="7829"/>
      <c r="BM99" s="7829"/>
      <c r="BN99" s="7829"/>
      <c r="BO99" s="7829"/>
      <c r="BP99" s="7829"/>
      <c r="BQ99" s="7829"/>
      <c r="BR99" s="7829"/>
      <c r="BS99" s="7829"/>
      <c r="BT99" s="7829"/>
      <c r="BU99" s="7829"/>
      <c r="BV99" s="7829"/>
      <c r="BW99" s="7829"/>
      <c r="BX99" s="7829"/>
      <c r="BY99" s="7829"/>
      <c r="BZ99" s="2977"/>
      <c r="CA99" s="2977"/>
      <c r="CG99" s="1847">
        <v>34</v>
      </c>
    </row>
    <row customHeight="1" ht="21">
      <c r="P100" s="1201"/>
      <c r="V100" s="2977"/>
      <c r="W100" s="2977"/>
      <c r="X100" s="2977"/>
      <c r="Y100" s="2977"/>
      <c r="Z100" s="2977"/>
      <c r="AA100" s="2977"/>
      <c r="AB100" s="2977"/>
      <c r="AC100" s="2977"/>
      <c r="AD100" s="2977"/>
      <c r="AE100" s="2977"/>
      <c r="AF100" s="2977"/>
      <c r="AG100" s="2977"/>
      <c r="AH100" s="2977"/>
      <c r="AI100" s="2977"/>
      <c r="AJ100" s="2977"/>
      <c r="AK100" s="2977"/>
      <c r="AL100" s="2977"/>
      <c r="AM100" s="2977"/>
      <c r="AN100" s="2977"/>
      <c r="AO100" s="2977"/>
      <c r="AP100" s="7829"/>
      <c r="AQ100" s="7829"/>
      <c r="AR100" s="7829"/>
      <c r="AS100" s="7829"/>
      <c r="AT100" s="7829"/>
      <c r="AU100" s="7829"/>
      <c r="AV100" s="7829"/>
      <c r="AW100" s="7829"/>
      <c r="AX100" s="7829"/>
      <c r="AY100" s="7829"/>
      <c r="AZ100" s="7829"/>
      <c r="BA100" s="7829"/>
      <c r="BB100" s="7829"/>
      <c r="BC100" s="7829"/>
      <c r="BD100" s="7829"/>
      <c r="BE100" s="7829"/>
      <c r="BF100" s="7829"/>
      <c r="BG100" s="7829"/>
      <c r="BH100" s="7829"/>
      <c r="BI100" s="7829"/>
      <c r="BJ100" s="7829"/>
      <c r="BK100" s="7829"/>
      <c r="BL100" s="7829"/>
      <c r="BM100" s="7829"/>
      <c r="BN100" s="7829"/>
      <c r="BO100" s="7829"/>
      <c r="BP100" s="7829"/>
      <c r="BQ100" s="7829"/>
      <c r="BR100" s="7829"/>
      <c r="BS100" s="7829"/>
      <c r="BT100" s="7829"/>
      <c r="BU100" s="7829"/>
      <c r="BV100" s="7829"/>
      <c r="BW100" s="7829"/>
      <c r="BX100" s="7829"/>
      <c r="BY100" s="7829"/>
      <c r="BZ100" s="2977"/>
      <c r="CA100" s="2977"/>
      <c r="CG100" s="1847">
        <v>20</v>
      </c>
    </row>
    <row customHeight="1" ht="14.699999999999998">
      <c r="P101" s="1201"/>
      <c r="AP101" s="7330"/>
      <c r="AQ101" s="7330"/>
      <c r="AR101" s="7330"/>
      <c r="AS101" s="7330"/>
      <c r="AT101" s="7330"/>
      <c r="AU101" s="7330"/>
      <c r="AV101" s="7330"/>
      <c r="AW101" s="7330"/>
      <c r="AX101" s="7330"/>
      <c r="AY101" s="7330"/>
      <c r="AZ101" s="7330"/>
      <c r="BA101" s="7330"/>
      <c r="BB101" s="7330"/>
      <c r="BC101" s="7330"/>
      <c r="BD101" s="7330"/>
      <c r="BE101" s="7330"/>
      <c r="BF101" s="7330"/>
      <c r="BG101" s="7330"/>
      <c r="BH101" s="7330"/>
      <c r="BI101" s="7330"/>
      <c r="BJ101" s="7330"/>
      <c r="BK101" s="7330"/>
      <c r="BL101" s="7330"/>
      <c r="BM101" s="7330"/>
      <c r="BN101" s="7330"/>
      <c r="BO101" s="7330"/>
      <c r="BP101" s="7330"/>
      <c r="BQ101" s="7330"/>
      <c r="BR101" s="7330"/>
      <c r="BS101" s="7330"/>
      <c r="BT101" s="7330"/>
      <c r="BU101" s="7330"/>
      <c r="BV101" s="7330"/>
      <c r="BW101" s="7330"/>
      <c r="BX101" s="7330"/>
      <c r="BY101" s="7330"/>
      <c r="CG101" s="1847">
        <v>14</v>
      </c>
    </row>
    <row customHeight="1" ht="28.5">
      <c r="P102" s="1201"/>
      <c r="V102" s="2977"/>
      <c r="W102" s="2977"/>
      <c r="X102" s="2977"/>
      <c r="Y102" s="2977"/>
      <c r="Z102" s="2977"/>
      <c r="AA102" s="2977"/>
      <c r="AB102" s="2977"/>
      <c r="AC102" s="2977"/>
      <c r="AD102" s="2977"/>
      <c r="AE102" s="2977"/>
      <c r="AF102" s="2977"/>
      <c r="AG102" s="2977"/>
      <c r="AH102" s="2977"/>
      <c r="AI102" s="2977"/>
      <c r="AJ102" s="2977"/>
      <c r="AK102" s="2977"/>
      <c r="AL102" s="2977"/>
      <c r="AM102" s="2977"/>
      <c r="AN102" s="2977"/>
      <c r="AO102" s="2977"/>
      <c r="AP102" s="7829"/>
      <c r="AQ102" s="7829"/>
      <c r="AR102" s="7829"/>
      <c r="AS102" s="7829"/>
      <c r="AT102" s="7829"/>
      <c r="AU102" s="7829"/>
      <c r="AV102" s="7829"/>
      <c r="AW102" s="7829"/>
      <c r="AX102" s="7829"/>
      <c r="AY102" s="7829"/>
      <c r="AZ102" s="7829"/>
      <c r="BA102" s="7829"/>
      <c r="BB102" s="7829"/>
      <c r="BC102" s="7829"/>
      <c r="BD102" s="7829"/>
      <c r="BE102" s="7829"/>
      <c r="BF102" s="7829"/>
      <c r="BG102" s="7829"/>
      <c r="BH102" s="7829"/>
      <c r="BI102" s="7829"/>
      <c r="BJ102" s="7829"/>
      <c r="BK102" s="7829"/>
      <c r="BL102" s="7829"/>
      <c r="BM102" s="7829"/>
      <c r="BN102" s="7829"/>
      <c r="BO102" s="7829"/>
      <c r="BP102" s="7829"/>
      <c r="BQ102" s="7829"/>
      <c r="BR102" s="7829"/>
      <c r="BS102" s="7829"/>
      <c r="BT102" s="7829"/>
      <c r="BU102" s="7829"/>
      <c r="BV102" s="7829"/>
      <c r="BW102" s="7829"/>
      <c r="BX102" s="7829"/>
      <c r="BY102" s="7829"/>
      <c r="BZ102" s="2977"/>
      <c r="CA102" s="2977"/>
      <c r="CG102" s="1847">
        <v>27</v>
      </c>
    </row>
    <row customHeight="1" ht="18.75">
      <c r="P103" s="1201"/>
      <c r="V103" s="2977"/>
      <c r="W103" s="2977"/>
      <c r="X103" s="2977"/>
      <c r="Y103" s="2977"/>
      <c r="Z103" s="2977"/>
      <c r="AA103" s="2977"/>
      <c r="AB103" s="2977"/>
      <c r="AC103" s="2977"/>
      <c r="AD103" s="2977"/>
      <c r="AE103" s="2977"/>
      <c r="AF103" s="2977"/>
      <c r="AG103" s="2977"/>
      <c r="AH103" s="2977"/>
      <c r="AI103" s="2977"/>
      <c r="AJ103" s="2977"/>
      <c r="AK103" s="2977"/>
      <c r="AL103" s="2977"/>
      <c r="AM103" s="2977"/>
      <c r="AN103" s="2977"/>
      <c r="AO103" s="2977"/>
      <c r="AP103" s="7829"/>
      <c r="AQ103" s="7829"/>
      <c r="AR103" s="7829"/>
      <c r="AS103" s="7829"/>
      <c r="AT103" s="7829"/>
      <c r="AU103" s="7829"/>
      <c r="AV103" s="7829"/>
      <c r="AW103" s="7829"/>
      <c r="AX103" s="7829"/>
      <c r="AY103" s="7829"/>
      <c r="AZ103" s="7829"/>
      <c r="BA103" s="7829"/>
      <c r="BB103" s="7829"/>
      <c r="BC103" s="7829"/>
      <c r="BD103" s="7829"/>
      <c r="BE103" s="7829"/>
      <c r="BF103" s="7829"/>
      <c r="BG103" s="7829"/>
      <c r="BH103" s="7829"/>
      <c r="BI103" s="7829"/>
      <c r="BJ103" s="7829"/>
      <c r="BK103" s="7829"/>
      <c r="BL103" s="7829"/>
      <c r="BM103" s="7829"/>
      <c r="BN103" s="7829"/>
      <c r="BO103" s="7829"/>
      <c r="BP103" s="7829"/>
      <c r="BQ103" s="7829"/>
      <c r="BR103" s="7829"/>
      <c r="BS103" s="7829"/>
      <c r="BT103" s="7829"/>
      <c r="BU103" s="7829"/>
      <c r="BV103" s="7829"/>
      <c r="BW103" s="7829"/>
      <c r="BX103" s="7829"/>
      <c r="BY103" s="7829"/>
      <c r="BZ103" s="2977"/>
      <c r="CA103" s="2977"/>
      <c r="CG103" s="1847">
        <v>18</v>
      </c>
    </row>
    <row customHeight="1" ht="22.5" hidden="1">
      <c r="A104" s="1847" t="s">
        <v>83</v>
      </c>
      <c r="B104" s="1847">
        <v>0</v>
      </c>
      <c r="C104" s="1847">
        <v>0</v>
      </c>
      <c r="D104" s="1847">
        <v>0</v>
      </c>
      <c r="E104" s="1847">
        <v>0</v>
      </c>
      <c r="F104" s="1847">
        <v>0</v>
      </c>
      <c r="G104" s="1847">
        <v>0</v>
      </c>
      <c r="H104" s="1847">
        <v>0</v>
      </c>
      <c r="I104" s="1847">
        <v>0</v>
      </c>
      <c r="J104" s="1847">
        <v>0</v>
      </c>
      <c r="K104" s="1847">
        <v>0</v>
      </c>
      <c r="L104" s="1847">
        <v>0</v>
      </c>
      <c r="M104" s="2019">
        <v>0</v>
      </c>
      <c r="N104" s="2020">
        <v>0</v>
      </c>
      <c r="O104" s="2020">
        <v>0</v>
      </c>
      <c r="P104" s="2020">
        <v>0</v>
      </c>
      <c r="Q104" s="2020">
        <v>0</v>
      </c>
      <c r="R104" s="1036">
        <v>3</v>
      </c>
      <c r="S104" s="1036">
        <v>3</v>
      </c>
      <c r="T104" s="1036">
        <v>3</v>
      </c>
      <c r="U104" s="1273">
        <v>12</v>
      </c>
      <c r="V104" s="1847">
        <v>31</v>
      </c>
      <c r="W104" s="1847">
        <v>0</v>
      </c>
      <c r="X104" s="1847">
        <v>0</v>
      </c>
      <c r="Y104" s="1847">
        <v>0</v>
      </c>
      <c r="Z104" s="1847">
        <v>0</v>
      </c>
      <c r="AA104" s="1847">
        <v>0</v>
      </c>
      <c r="AB104" s="1847">
        <v>0</v>
      </c>
      <c r="AC104" s="1847">
        <v>0</v>
      </c>
      <c r="AD104" s="1847">
        <v>0</v>
      </c>
      <c r="AE104" s="1847">
        <v>0</v>
      </c>
      <c r="AF104" s="1847">
        <v>0</v>
      </c>
      <c r="AG104" s="1847">
        <v>21</v>
      </c>
      <c r="AH104" s="1847">
        <v>21</v>
      </c>
      <c r="AI104" s="1847">
        <v>21</v>
      </c>
      <c r="AJ104" s="1847">
        <v>21</v>
      </c>
      <c r="AK104" s="1847">
        <v>21</v>
      </c>
      <c r="AL104" s="1847">
        <v>11</v>
      </c>
      <c r="AM104" s="1847">
        <v>3</v>
      </c>
      <c r="AN104" s="1847">
        <v>11</v>
      </c>
      <c r="AO104" s="1847">
        <v>8</v>
      </c>
      <c r="AP104" s="7330">
        <v>0</v>
      </c>
      <c r="AQ104" s="7330">
        <v>0</v>
      </c>
      <c r="AR104" s="7330">
        <v>0</v>
      </c>
      <c r="AS104" s="7330">
        <v>0</v>
      </c>
      <c r="AT104" s="7330">
        <v>0</v>
      </c>
      <c r="AU104" s="7330">
        <v>0</v>
      </c>
      <c r="AV104" s="7330">
        <v>0</v>
      </c>
      <c r="AW104" s="7330">
        <v>0</v>
      </c>
      <c r="AX104" s="7330">
        <v>0</v>
      </c>
      <c r="AY104" s="7330">
        <v>0</v>
      </c>
      <c r="AZ104" s="7330">
        <v>0</v>
      </c>
      <c r="BA104" s="7330">
        <v>0</v>
      </c>
      <c r="BB104" s="7330">
        <v>0</v>
      </c>
      <c r="BC104" s="7330">
        <v>0</v>
      </c>
      <c r="BD104" s="7330">
        <v>0</v>
      </c>
      <c r="BE104" s="7330">
        <v>0</v>
      </c>
      <c r="BF104" s="7330">
        <v>0</v>
      </c>
      <c r="BG104" s="7330">
        <v>0</v>
      </c>
      <c r="BH104" s="7330">
        <v>0</v>
      </c>
      <c r="BI104" s="7330">
        <v>0</v>
      </c>
      <c r="BJ104" s="7330">
        <v>0</v>
      </c>
      <c r="BK104" s="7330">
        <v>0</v>
      </c>
      <c r="BL104" s="7330">
        <v>0</v>
      </c>
      <c r="BM104" s="7330">
        <v>0</v>
      </c>
      <c r="BN104" s="7330">
        <v>0</v>
      </c>
      <c r="BO104" s="7330">
        <v>0</v>
      </c>
      <c r="BP104" s="7330">
        <v>0</v>
      </c>
      <c r="BQ104" s="7330">
        <v>0</v>
      </c>
      <c r="BR104" s="7330">
        <v>0</v>
      </c>
      <c r="BS104" s="7330">
        <v>0</v>
      </c>
      <c r="BT104" s="7330">
        <v>0</v>
      </c>
      <c r="BU104" s="7330">
        <v>0</v>
      </c>
      <c r="BV104" s="7330">
        <v>0</v>
      </c>
      <c r="BW104" s="7330">
        <v>0</v>
      </c>
      <c r="BX104" s="7330">
        <v>0</v>
      </c>
      <c r="BY104" s="7330">
        <v>0</v>
      </c>
      <c r="BZ104" s="1847">
        <v>4</v>
      </c>
      <c r="CA104" s="1847">
        <v>115</v>
      </c>
      <c r="CB104" s="1203">
        <v>10</v>
      </c>
      <c r="CC104" s="1203">
        <v>10</v>
      </c>
      <c r="CD104" s="1203">
        <v>10</v>
      </c>
      <c r="CE104" s="1203">
        <v>10</v>
      </c>
      <c r="CF104" s="1203">
        <v>10</v>
      </c>
      <c r="CG104" s="1847">
        <v>23</v>
      </c>
    </row>
  </sheetData>
  <sheetProtection sheet="1" formatColumns="0" formatRows="0" autoFilter="0" sort="1" insertRows="1" insertColumns="1" deleteRows="1" deleteColumns="1"/>
  <mergeCells count="326">
    <mergeCell ref="V103:CA103"/>
    <mergeCell ref="U39:V39"/>
    <mergeCell ref="X39:AE39"/>
    <mergeCell ref="AG39:AN39"/>
    <mergeCell ref="U38:V38"/>
    <mergeCell ref="X38:AE38"/>
    <mergeCell ref="AG38:AN38"/>
    <mergeCell ref="AL55:AL58"/>
    <mergeCell ref="AM55:AM58"/>
    <mergeCell ref="AN55:AN58"/>
    <mergeCell ref="AO55:AO58"/>
    <mergeCell ref="V102:CA102"/>
    <mergeCell ref="CA42:CA47"/>
    <mergeCell ref="CA56:CA59"/>
    <mergeCell ref="V99:CA99"/>
    <mergeCell ref="V100:CA100"/>
    <mergeCell ref="Y44:AB44"/>
    <mergeCell ref="Y45:Y47"/>
    <mergeCell ref="Z45:AB45"/>
    <mergeCell ref="AA46:AB46"/>
    <mergeCell ref="Z46:Z47"/>
    <mergeCell ref="AC46:AC47"/>
    <mergeCell ref="AD46:AE47"/>
    <mergeCell ref="AC44:AE45"/>
    <mergeCell ref="AH44:AK44"/>
    <mergeCell ref="AL44:AN45"/>
    <mergeCell ref="AH45:AH47"/>
    <mergeCell ref="X53:AF53"/>
    <mergeCell ref="AG53:BZ53"/>
    <mergeCell ref="AI45:AK45"/>
    <mergeCell ref="AI46:AI47"/>
    <mergeCell ref="AJ46:AK46"/>
    <mergeCell ref="AL46:AL47"/>
    <mergeCell ref="AM46:AN47"/>
    <mergeCell ref="BZ43:BZ47"/>
    <mergeCell ref="X44:X47"/>
    <mergeCell ref="AG44:AG47"/>
    <mergeCell ref="AC55:AC58"/>
    <mergeCell ref="AE55:AE58"/>
    <mergeCell ref="AD55:AD58"/>
    <mergeCell ref="E49:E64"/>
    <mergeCell ref="X49:AF49"/>
    <mergeCell ref="AG49:BZ49"/>
    <mergeCell ref="F50:F63"/>
    <mergeCell ref="X50:AF50"/>
    <mergeCell ref="AG50:BZ50"/>
    <mergeCell ref="G51:G62"/>
    <mergeCell ref="X51:AF51"/>
    <mergeCell ref="AG51:BZ51"/>
    <mergeCell ref="H52:H61"/>
    <mergeCell ref="X52:AF52"/>
    <mergeCell ref="AG52:BZ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BZ54"/>
    <mergeCell ref="K55:K58"/>
    <mergeCell ref="AD48:AE48"/>
    <mergeCell ref="AM48:AN48"/>
    <mergeCell ref="X41:AF41"/>
    <mergeCell ref="AG41:AO41"/>
    <mergeCell ref="U42:BZ42"/>
    <mergeCell ref="U43:U47"/>
    <mergeCell ref="V43:V47"/>
    <mergeCell ref="X43:AE43"/>
    <mergeCell ref="AF43:AF47"/>
    <mergeCell ref="AG43:AN43"/>
    <mergeCell ref="AO43:AO47"/>
    <mergeCell ref="CA9:CA12"/>
    <mergeCell ref="J7:J12"/>
    <mergeCell ref="R7:R12"/>
    <mergeCell ref="X7:AF7"/>
    <mergeCell ref="AG7:BZ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BZ2"/>
    <mergeCell ref="F3:F16"/>
    <mergeCell ref="X3:AF3"/>
    <mergeCell ref="AG3:BZ3"/>
    <mergeCell ref="G4:G15"/>
    <mergeCell ref="X4:AF4"/>
    <mergeCell ref="AG4:BZ4"/>
    <mergeCell ref="H5:H14"/>
    <mergeCell ref="X5:AF5"/>
    <mergeCell ref="AG5:BZ5"/>
    <mergeCell ref="I6:I13"/>
    <mergeCell ref="Q6:Q13"/>
    <mergeCell ref="X6:AF6"/>
    <mergeCell ref="AG6:BZ6"/>
    <mergeCell ref="CA72:CA75"/>
    <mergeCell ref="J70:J75"/>
    <mergeCell ref="R70:R75"/>
    <mergeCell ref="X70:AF70"/>
    <mergeCell ref="AG70:BZ70"/>
    <mergeCell ref="S71:S74"/>
    <mergeCell ref="K71:K74"/>
    <mergeCell ref="L72:L73"/>
    <mergeCell ref="AC71:AC74"/>
    <mergeCell ref="AE71:AE74"/>
    <mergeCell ref="AD71:AD74"/>
    <mergeCell ref="AF71:AF74"/>
    <mergeCell ref="AL71:AL74"/>
    <mergeCell ref="AM71:AM74"/>
    <mergeCell ref="AN71:AN74"/>
    <mergeCell ref="AO71:AO74"/>
    <mergeCell ref="E65:E80"/>
    <mergeCell ref="X65:AF65"/>
    <mergeCell ref="AG65:BZ65"/>
    <mergeCell ref="F66:F79"/>
    <mergeCell ref="X66:AF66"/>
    <mergeCell ref="AG66:BZ66"/>
    <mergeCell ref="G67:G78"/>
    <mergeCell ref="X67:AF67"/>
    <mergeCell ref="AG67:BZ67"/>
    <mergeCell ref="H68:H77"/>
    <mergeCell ref="X68:AF68"/>
    <mergeCell ref="AG68:BZ68"/>
    <mergeCell ref="I69:I76"/>
    <mergeCell ref="Q69:Q76"/>
    <mergeCell ref="X69:AF69"/>
    <mergeCell ref="AG69:BZ69"/>
    <mergeCell ref="CA88:CA91"/>
    <mergeCell ref="J86:J91"/>
    <mergeCell ref="R86:R91"/>
    <mergeCell ref="X86:AF86"/>
    <mergeCell ref="AG86:BZ86"/>
    <mergeCell ref="S87:S90"/>
    <mergeCell ref="K87:K90"/>
    <mergeCell ref="L88:L89"/>
    <mergeCell ref="AC87:AC90"/>
    <mergeCell ref="AE87:AE90"/>
    <mergeCell ref="AD87:AD90"/>
    <mergeCell ref="AF87:AF90"/>
    <mergeCell ref="AL87:AL90"/>
    <mergeCell ref="AM87:AM90"/>
    <mergeCell ref="AN87:AN90"/>
    <mergeCell ref="AO87:AO90"/>
    <mergeCell ref="E81:E96"/>
    <mergeCell ref="X81:AF81"/>
    <mergeCell ref="AG81:BZ81"/>
    <mergeCell ref="F82:F95"/>
    <mergeCell ref="X82:AF82"/>
    <mergeCell ref="AG82:BZ82"/>
    <mergeCell ref="G83:G94"/>
    <mergeCell ref="X83:AF83"/>
    <mergeCell ref="AG83:BZ83"/>
    <mergeCell ref="H84:H93"/>
    <mergeCell ref="X84:AF84"/>
    <mergeCell ref="AG84:BZ84"/>
    <mergeCell ref="I85:I92"/>
    <mergeCell ref="Q85:Q92"/>
    <mergeCell ref="X85:AF85"/>
    <mergeCell ref="AG85:BZ85"/>
    <mergeCell ref="AP39:AW39"/>
    <mergeCell ref="AP38:AW38"/>
    <mergeCell ref="AQ44:AT44"/>
    <mergeCell ref="AQ45:AQ47"/>
    <mergeCell ref="AR45:AT45"/>
    <mergeCell ref="AS46:AT46"/>
    <mergeCell ref="AR46:AR47"/>
    <mergeCell ref="AU46:AU47"/>
    <mergeCell ref="AV46:AW47"/>
    <mergeCell ref="AU44:AW45"/>
    <mergeCell ref="AU8:AU11"/>
    <mergeCell ref="AV8:AV11"/>
    <mergeCell ref="AW8:AW11"/>
    <mergeCell ref="AX8:AX11"/>
    <mergeCell ref="AP33:AW33"/>
    <mergeCell ref="AP34:AW34"/>
    <mergeCell ref="AP35:AW35"/>
    <mergeCell ref="AP36:AW36"/>
    <mergeCell ref="AP41:AX41"/>
    <mergeCell ref="AP43:AW43"/>
    <mergeCell ref="AX43:AX47"/>
    <mergeCell ref="AP44:AP47"/>
    <mergeCell ref="AV48:AW48"/>
    <mergeCell ref="AU55:AU58"/>
    <mergeCell ref="AV55:AV58"/>
    <mergeCell ref="AW55:AW58"/>
    <mergeCell ref="AX55:AX58"/>
    <mergeCell ref="AU71:AU74"/>
    <mergeCell ref="AV71:AV74"/>
    <mergeCell ref="AW71:AW74"/>
    <mergeCell ref="AX71:AX74"/>
    <mergeCell ref="AU87:AU90"/>
    <mergeCell ref="AV87:AV90"/>
    <mergeCell ref="AW87:AW90"/>
    <mergeCell ref="AX87:AX90"/>
    <mergeCell ref="AY39:BF39"/>
    <mergeCell ref="AY38:BF38"/>
    <mergeCell ref="AZ44:BC44"/>
    <mergeCell ref="AZ45:AZ47"/>
    <mergeCell ref="BA45:BC45"/>
    <mergeCell ref="BB46:BC46"/>
    <mergeCell ref="BA46:BA47"/>
    <mergeCell ref="BD46:BD47"/>
    <mergeCell ref="BE46:BF47"/>
    <mergeCell ref="BD44:BF45"/>
    <mergeCell ref="BD8:BD11"/>
    <mergeCell ref="BE8:BE11"/>
    <mergeCell ref="BF8:BF11"/>
    <mergeCell ref="BG8:BG11"/>
    <mergeCell ref="AY33:BF33"/>
    <mergeCell ref="AY34:BF34"/>
    <mergeCell ref="AY35:BF35"/>
    <mergeCell ref="AY36:BF36"/>
    <mergeCell ref="AY41:BG41"/>
    <mergeCell ref="AY43:BF43"/>
    <mergeCell ref="BG43:BG47"/>
    <mergeCell ref="AY44:AY47"/>
    <mergeCell ref="BE48:BF48"/>
    <mergeCell ref="BD55:BD58"/>
    <mergeCell ref="BE55:BE58"/>
    <mergeCell ref="BF55:BF58"/>
    <mergeCell ref="BG55:BG58"/>
    <mergeCell ref="BD71:BD74"/>
    <mergeCell ref="BE71:BE74"/>
    <mergeCell ref="BF71:BF74"/>
    <mergeCell ref="BG71:BG74"/>
    <mergeCell ref="BD87:BD90"/>
    <mergeCell ref="BE87:BE90"/>
    <mergeCell ref="BF87:BF90"/>
    <mergeCell ref="BG87:BG90"/>
    <mergeCell ref="BH39:BO39"/>
    <mergeCell ref="BH38:BO38"/>
    <mergeCell ref="BI44:BL44"/>
    <mergeCell ref="BI45:BI47"/>
    <mergeCell ref="BJ45:BL45"/>
    <mergeCell ref="BK46:BL46"/>
    <mergeCell ref="BJ46:BJ47"/>
    <mergeCell ref="BM46:BM47"/>
    <mergeCell ref="BN46:BO47"/>
    <mergeCell ref="BM44:BO45"/>
    <mergeCell ref="BM8:BM11"/>
    <mergeCell ref="BN8:BN11"/>
    <mergeCell ref="BO8:BO11"/>
    <mergeCell ref="BP8:BP11"/>
    <mergeCell ref="BH33:BO33"/>
    <mergeCell ref="BH34:BO34"/>
    <mergeCell ref="BH35:BO35"/>
    <mergeCell ref="BH36:BO36"/>
    <mergeCell ref="BH41:BP41"/>
    <mergeCell ref="BH43:BO43"/>
    <mergeCell ref="BP43:BP47"/>
    <mergeCell ref="BH44:BH47"/>
    <mergeCell ref="BN48:BO48"/>
    <mergeCell ref="BM55:BM58"/>
    <mergeCell ref="BN55:BN58"/>
    <mergeCell ref="BO55:BO58"/>
    <mergeCell ref="BP55:BP58"/>
    <mergeCell ref="BM71:BM74"/>
    <mergeCell ref="BN71:BN74"/>
    <mergeCell ref="BO71:BO74"/>
    <mergeCell ref="BP71:BP74"/>
    <mergeCell ref="BM87:BM90"/>
    <mergeCell ref="BN87:BN90"/>
    <mergeCell ref="BO87:BO90"/>
    <mergeCell ref="BP87:BP90"/>
    <mergeCell ref="BQ39:BX39"/>
    <mergeCell ref="BQ38:BX38"/>
    <mergeCell ref="BR44:BU44"/>
    <mergeCell ref="BR45:BR47"/>
    <mergeCell ref="BS45:BU45"/>
    <mergeCell ref="BT46:BU46"/>
    <mergeCell ref="BS46:BS47"/>
    <mergeCell ref="BV46:BV47"/>
    <mergeCell ref="BW46:BX47"/>
    <mergeCell ref="BV44:BX45"/>
    <mergeCell ref="BV8:BV11"/>
    <mergeCell ref="BW8:BW11"/>
    <mergeCell ref="BX8:BX11"/>
    <mergeCell ref="BY8:BY11"/>
    <mergeCell ref="BQ33:BX33"/>
    <mergeCell ref="BQ34:BX34"/>
    <mergeCell ref="BQ35:BX35"/>
    <mergeCell ref="BQ36:BX36"/>
    <mergeCell ref="BQ41:BY41"/>
    <mergeCell ref="BQ43:BX43"/>
    <mergeCell ref="BY43:BY47"/>
    <mergeCell ref="BQ44:BQ47"/>
    <mergeCell ref="BW48:BX48"/>
    <mergeCell ref="BV55:BV58"/>
    <mergeCell ref="BW55:BW58"/>
    <mergeCell ref="BX55:BX58"/>
    <mergeCell ref="BY55:BY58"/>
    <mergeCell ref="BV71:BV74"/>
    <mergeCell ref="BW71:BW74"/>
    <mergeCell ref="BX71:BX74"/>
    <mergeCell ref="BY71:BY74"/>
    <mergeCell ref="BV87:BV90"/>
    <mergeCell ref="BW87:BW90"/>
    <mergeCell ref="BX87:BX90"/>
    <mergeCell ref="BY87:BY90"/>
  </mergeCells>
  <dataValidations count="8">
    <dataValidation allowBlank="1" showInputMessage="1" showErrorMessage="1" prompt="Для выбора выполните двойной щелчок левой клавиши мыши по соответствующей ячейке." sqref="AD65624 AD131160 AD196696 AD262232 AD327768 AD393304 AD458840 AD524376 AD589912 AD655448 AD720984 AD786520 AD852056 AD917592 AD983128 AF131160 AF458840 AF196696 AF262232 AF327768 AF393304 AF524376 AF589912 AF655448 AF720984 AF786520 AF852056 AF917592 AF983128 AF65624 AM65624 AM131160 AM196696 AM262232 AM327768 AM393304 AM458840 AM524376 AM589912 AM655448 AM720984 AM786520 AM852056 AM917592 AM983128 AO393304:BY393304 AO327768:BY327768 AO524376:BY524376 AO55 AV55 AX55 BE55 BG55 BN55 BP55 BW55 BY55 AO589912:BY589912 AO655448:BY655448 AO19:AO21 AO720984:BY720984 AO786520:BY786520 AO852056:BY852056 AO917592:BY917592 AO983128:BY983128 AO65624:BY65624 AO131160:BY131160 AO458840:BY458840 AF55 AO196696:BY196696 AF8 AD8 AM55 AM19:AM21 AO262232:BY262232 AD55 AO8 AV8 AX8 BE8 BG8 BN8 BP8 BW8 BY8 AM8 AD71 AF71 AM71 AO71 AV71 AX71 BE71 BG71 BN71 BP71 BW71 BY71 AD87 AF87 AM87 AO87 AV87 AX87 BE87 BG87 BN87 BP87 BW87 BY87"/>
    <dataValidation allowBlank="1" promptTitle="checkPeriodRange" sqref="AB65625 AB131161 AB196697 AB262233 AB327769 AB393305 AB458841 AB524377 AB589913 AB655449 AB720985 AB786521 AB852057 AB917593 AB983129 AB10:AB11 AK65625 AK131161 AK196697 AK262233 AK327769 AK393305 AK458841 AK524377 AK589913 AK655449 AK720985 AK786521 AK852057 AK917593 AK983129 AK10:AK11 AK57 AK22 AB57 AB73 AK73 AB74 AK74 AB89 AK89 AB90 AK90 AT10 AT11 AT57 AT73 AT74 AT89 AT90 BC10 BC11 BC57 BC73 BC74 BC89 BC90 BL10 BL11 BL57 BL73 BL74 BL89 BL90 BU10 BU11 BU57 BU73 BU74 BU89 BU9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24 AC131160 AC196696 AC262232 AC327768 AC393304 AC458840 AC524376 AC589912 AC655448 AC720984 AC786520 AC852056 AC917592 AC983128 AE65624 AE131160 AE196696 AE262232 AE327768 AE393304 AE458840 AE524376 AE589912 AE655448 AE720984 AE786520 AE852056 AE917592 AE983128 AN55 AL65624 AL131160 AL196696 AL262232 AL327768 AL393304 AL458840 AL524376 AL589912 AL655448 AL720984 AL786520 AL852056 AL917592 AL983128 AN65624 AN131160 AN196696 AN262232 AN327768 AN393304 AN458840 AN524376 AN589912 AN655448 AN720984 AN786520 AN852056 AN917592 AN983128 AC55 AE55 AL55 AE8 AC8 AL19:AL21 AN19:AN21 AN8 AL8 AC71 AE71 AL71 AN71 AC87 AE87 AL87 AN87 AU8 AW8 AU55 AW55 AU71 AW71 AU87 AW87 BD8 BF8 BD55 BF55 BD71 BF71 BD87 BF87 BM8 BO8 BM55 BO55 BM71 BO71 BM87 BO87 BV8 BX8 BV55 BX55 BV71 BX71 BV87 BX87"/>
    <dataValidation type="textLength" operator="lessThanOrEqual" allowBlank="1" showInputMessage="1" showErrorMessage="1" errorTitle="Ошибка" error="Допускается ввод не более 900 символов!" sqref="CA65618:CA65625 CA131154:CA131161 CA196690:CA196697 CA262226:CA262233 CA327762:CA327769 CA393298:CA393305 CA458834:CA458841 CA524370:CA524377 CA589906:CA589913 CA655442:CA655449 CA720978:CA720985 CA786514:CA786521 CA852050:CA852057 CA917586:CA917593 CA983122:CA983129">
      <formula1>900</formula1>
    </dataValidation>
    <dataValidation allowBlank="1" sqref="U131162:CA131168 U196698:CA196704 U262234:CA262240 U327770:CA327776 U393306:CA393312 U458842:CA458848 U524378:CA524384 U589914:CA589920 U655450:CA655456 U720986:CA720992 U786522:CA786528 U852058:CA852064 U917594:CA917600 U983130:CA983136 U65626:CA65632"/>
    <dataValidation type="list" allowBlank="1" showInputMessage="1" errorTitle="Ошибка" error="Выберите значение из списка" prompt="Выберите значение из списка" sqref="X983127:BZ983127 X65623:BZ65623 X131159:BZ131159 X196695:BZ196695 X262231:BZ262231 X327767:BZ327767 X393303:BZ393303 X458839:BZ458839 X524375:BZ524375 X589911:BZ589911 X655447:BZ655447 X720983:BZ720983 X786519:BZ786519 X852055:BZ852055 X917591:BZ917591">
      <formula1>kind_of_cons</formula1>
    </dataValidation>
    <dataValidation type="list" allowBlank="1" showInputMessage="1" showErrorMessage="1" errorTitle="Ошибка" error="Выберите значение из списка" sqref="X983126:Z983126 X65622:Z65622 X131158:Z131158 X196694:Z196694 X262230:Z262230 X327766:Z327766 X393302:Z393302 X458838:Z458838 X524374:Z524374 X589910:Z589910 X655446:Z655446 X720982:Z720982 X786518:Z786518 X852054:Z852054 X917590:Z917590 AG983126:AI983126 AG65622:AI65622 AG131158:AI131158 AG196694:AI196694 AG262230:AI262230 AG327766:AI327766 AG393302:AI393302 AG458838:AI458838 AG524374:AI524374 AG589910:AI589910 AG655446:AI655446 AG720982:AI720982 AG786518:AI786518 AG852054:AI852054 AG917590:AI917590">
      <formula1>kind_of_scheme_in</formula1>
    </dataValidation>
    <dataValidation type="list" allowBlank="1" showInputMessage="1" showErrorMessage="1" errorTitle="Ошибка" error="Выберите значение из списка" sqref="V65624 V131160 V196696 V262232 V327768 V393304 V458840 V524376 V589912 V655448 V720984 V786520 V852056 V917592 V983128">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FCF1B92-F7A2-379C-A82A-63FE46A8995C}" mc:Ignorable="x14ac xr xr2 xr3">
  <sheetPr>
    <tabColor rgb="FFCCCCFF"/>
  </sheetPr>
  <dimension ref="A1:Q79"/>
  <sheetViews>
    <sheetView topLeftCell="C1" showGridLines="0" zoomScale="90" workbookViewId="0">
      <selection activeCell="I33" sqref="I33"/>
    </sheetView>
  </sheetViews>
  <sheetFormatPr defaultColWidth="9.140625" customHeight="1" defaultRowHeight="11.25"/>
  <cols>
    <col min="1" max="1" style="57494" width="10.7109375" hidden="1" customWidth="1"/>
    <col min="2" max="2" style="61616" width="10.7109375" hidden="1" customWidth="1"/>
    <col min="3" max="3" style="57496" width="3.00390625" customWidth="1"/>
    <col min="4" max="4" style="62286" width="1.00390625" customWidth="1"/>
    <col min="5" max="6" style="62286" width="55.00390625" customWidth="1"/>
    <col min="7" max="7" style="63163" width="1.00390625" customWidth="1"/>
    <col min="8" max="8" style="62286" width="18.00390625" hidden="1" customWidth="1"/>
    <col min="9" max="9" style="57498" width="59.00390625" customWidth="1"/>
    <col min="10" max="10" style="62148" width="52.140625" hidden="1" customWidth="1"/>
    <col min="11" max="11" style="62286" width="8.00390625" customWidth="1"/>
    <col min="12" max="12" style="62286" width="77.00390625" customWidth="1"/>
    <col min="13" max="16" style="62286" width="8.00390625" customWidth="1"/>
    <col min="17" max="17" style="62286" width="12.00390625" hidden="1" customWidth="1"/>
  </cols>
  <sheetData>
    <row s="61685" customFormat="1" customHeight="1" ht="3">
      <c r="A1" s="1475"/>
      <c r="B1" s="933"/>
      <c r="F1" s="934" t="s">
        <v>13</v>
      </c>
      <c r="G1" s="1103"/>
      <c r="H1" s="763"/>
      <c r="I1" s="1103"/>
      <c r="J1" s="1563"/>
      <c r="Q1" s="934" t="s">
        <v>14</v>
      </c>
    </row>
    <row s="62759" customFormat="1" customHeight="1" ht="14.25">
      <c r="A2" s="1475"/>
      <c r="B2" s="790"/>
      <c r="E2" s="2432" t="str">
        <f>code</f>
        <v>Код отчёта: PP110.OPEN.INFO.REQUEST.HEAT.EIAS</v>
      </c>
      <c r="F2" s="961"/>
      <c r="G2" s="937"/>
      <c r="H2" s="937"/>
      <c r="I2" s="937"/>
      <c r="J2" s="1564"/>
      <c r="K2" s="937"/>
      <c r="Q2" s="763">
        <v>14</v>
      </c>
    </row>
    <row customHeight="1" ht="14.699999999999998">
      <c r="E3" s="938" t="str">
        <f>version</f>
        <v>Версия отчёта: 1.1.1</v>
      </c>
      <c r="F3" s="961"/>
      <c r="G3" s="1462"/>
      <c r="H3" s="1462"/>
      <c r="I3" s="1462"/>
      <c r="J3" s="1565"/>
      <c r="K3" s="780"/>
      <c r="Q3" s="766">
        <v>14</v>
      </c>
    </row>
    <row s="58292" customFormat="1" customHeight="1" ht="6.3">
      <c r="A4" s="1476"/>
      <c r="B4" s="924"/>
      <c r="C4" s="925"/>
      <c r="D4" s="926"/>
      <c r="E4" s="935"/>
      <c r="F4" s="936"/>
      <c r="G4" s="1463"/>
      <c r="H4" s="1101"/>
      <c r="I4" s="1103"/>
      <c r="J4" s="1566"/>
      <c r="Q4" s="928">
        <v>6</v>
      </c>
    </row>
    <row customHeight="1" ht="39.75">
      <c r="D5" s="767"/>
      <c r="E5" s="2787"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788"/>
      <c r="G5" s="1464"/>
      <c r="J5" s="1567"/>
      <c r="Q5" s="766">
        <v>38</v>
      </c>
    </row>
    <row s="58292" customFormat="1" customHeight="1" ht="6.3">
      <c r="A6" s="1476"/>
      <c r="B6" s="924"/>
      <c r="C6" s="925"/>
      <c r="D6" s="926"/>
      <c r="E6" s="929"/>
      <c r="F6" s="930"/>
      <c r="G6" s="1464"/>
      <c r="H6" s="1101"/>
      <c r="I6" s="1103"/>
      <c r="J6" s="1566"/>
      <c r="Q6" s="928">
        <v>6</v>
      </c>
    </row>
    <row customHeight="1" ht="21">
      <c r="D7" s="767"/>
      <c r="E7" s="1083" t="s">
        <v>15</v>
      </c>
      <c r="F7" s="907" t="s">
        <v>16</v>
      </c>
      <c r="G7" s="1464"/>
      <c r="Q7" s="766">
        <v>20</v>
      </c>
    </row>
    <row s="58292" customFormat="1" customHeight="1" ht="6.3">
      <c r="A8" s="1477"/>
      <c r="B8" s="924"/>
      <c r="C8" s="925"/>
      <c r="D8" s="931"/>
      <c r="E8" s="929"/>
      <c r="F8" s="932"/>
      <c r="G8" s="769"/>
      <c r="H8" s="1101"/>
      <c r="I8" s="1103"/>
      <c r="J8" s="1569"/>
      <c r="Q8" s="928">
        <v>6</v>
      </c>
    </row>
    <row s="62286" customFormat="1" customHeight="1" ht="19.5" hidden="1">
      <c r="A9" s="1476"/>
      <c r="B9" s="790"/>
      <c r="C9" s="1100"/>
      <c r="D9" s="1102"/>
      <c r="E9" s="1857" t="s">
        <v>17</v>
      </c>
      <c r="F9" s="2613"/>
      <c r="G9" s="1464"/>
      <c r="I9" s="2592" t="str">
        <f>IF(TITLE_STRUCTURE_INFO_ROIV="","","раскрывается "&amp;INDEX(ROIV_INFO_COMMENT,MATCH(TITLE_STRUCTURE_INFO_ROIV,ROIV_INFO_LIST,0)))</f>
        <v/>
      </c>
      <c r="J9" s="1568"/>
      <c r="Q9" s="1101">
        <v>0</v>
      </c>
    </row>
    <row s="58292" customFormat="1" customHeight="1" ht="24" hidden="1">
      <c r="A10" s="1477"/>
      <c r="B10" s="1118"/>
      <c r="C10" s="1119"/>
      <c r="D10" s="931"/>
      <c r="E10" s="1857" t="s">
        <v>18</v>
      </c>
      <c r="F10" s="2758" t="s">
        <v>19</v>
      </c>
      <c r="G10" s="769"/>
      <c r="H10" s="1101"/>
      <c r="I10" s="1103"/>
      <c r="J10" s="1569"/>
      <c r="Q10" s="1122">
        <v>24</v>
      </c>
    </row>
    <row customHeight="1" ht="22.5">
      <c r="A11" s="2790" t="s">
        <v>20</v>
      </c>
      <c r="D11" s="767"/>
      <c r="E11" s="1857" t="s">
        <v>21</v>
      </c>
      <c r="F11" s="3422">
        <v>45292</v>
      </c>
      <c r="G11" s="769"/>
      <c r="H11" s="1465" t="s">
        <v>22</v>
      </c>
      <c r="J11" s="1568" t="s">
        <v>23</v>
      </c>
      <c r="Q11" s="766">
        <v>0</v>
      </c>
    </row>
    <row customHeight="1" ht="22.5">
      <c r="A12" s="2790"/>
      <c r="D12" s="767"/>
      <c r="E12" s="1857" t="s">
        <v>24</v>
      </c>
      <c r="F12" s="3422">
        <v>47118</v>
      </c>
      <c r="G12" s="765"/>
      <c r="J12" s="1568" t="s">
        <v>25</v>
      </c>
      <c r="Q12" s="766">
        <v>0</v>
      </c>
    </row>
    <row s="62286" customFormat="1" customHeight="1" ht="22.5" hidden="1">
      <c r="A13" s="1480" t="s">
        <v>26</v>
      </c>
      <c r="B13" s="790"/>
      <c r="C13" s="1100"/>
      <c r="D13" s="1102"/>
      <c r="E13" s="2467" t="s">
        <v>27</v>
      </c>
      <c r="F13" s="2424" t="s">
        <v>28</v>
      </c>
      <c r="G13" s="769"/>
      <c r="H13" s="1462"/>
      <c r="I13" s="1103"/>
      <c r="J13" s="2468" t="s">
        <v>29</v>
      </c>
      <c r="Q13" s="1101">
        <v>0</v>
      </c>
    </row>
    <row s="62286" customFormat="1" customHeight="1" ht="27" hidden="1">
      <c r="A14" s="1480" t="s">
        <v>30</v>
      </c>
      <c r="B14" s="790"/>
      <c r="C14" s="1100"/>
      <c r="D14" s="1102"/>
      <c r="E14" s="1857" t="s">
        <v>31</v>
      </c>
      <c r="F14" s="2459"/>
      <c r="G14" s="769"/>
      <c r="H14" s="1462"/>
      <c r="I14" s="1103"/>
      <c r="J14" s="1568" t="s">
        <v>32</v>
      </c>
      <c r="Q14" s="1101">
        <v>0</v>
      </c>
    </row>
    <row s="62286" customFormat="1" customHeight="1" ht="19.5" hidden="1">
      <c r="A15" s="1480" t="s">
        <v>33</v>
      </c>
      <c r="B15" s="790"/>
      <c r="C15" s="1100"/>
      <c r="D15" s="1102"/>
      <c r="E15" s="1857" t="s">
        <v>34</v>
      </c>
      <c r="F15" s="2459"/>
      <c r="G15" s="769"/>
      <c r="H15" s="1462"/>
      <c r="I15" s="1103"/>
      <c r="J15" s="1568" t="s">
        <v>35</v>
      </c>
      <c r="Q15" s="1101">
        <v>0</v>
      </c>
    </row>
    <row s="58292" customFormat="1" customHeight="1" ht="6.3">
      <c r="A16" s="1477"/>
      <c r="B16" s="924"/>
      <c r="C16" s="925"/>
      <c r="D16" s="931"/>
      <c r="E16" s="929"/>
      <c r="F16" s="932"/>
      <c r="G16" s="769"/>
      <c r="H16" s="1101"/>
      <c r="I16" s="1103"/>
      <c r="J16" s="1566"/>
      <c r="Q16" s="928">
        <v>6</v>
      </c>
    </row>
    <row customHeight="1" ht="21">
      <c r="D17" s="767"/>
      <c r="E17" s="1083" t="s">
        <v>36</v>
      </c>
      <c r="F17" s="3430" t="s">
        <v>37</v>
      </c>
      <c r="G17" s="765"/>
      <c r="H17" s="1465" t="s">
        <v>22</v>
      </c>
      <c r="Q17" s="766">
        <v>20</v>
      </c>
    </row>
    <row customHeight="1" ht="25.5">
      <c r="D18" s="767"/>
      <c r="E18" s="2467" t="s">
        <v>38</v>
      </c>
      <c r="F18" s="45637">
        <v>45985</v>
      </c>
      <c r="G18" s="765"/>
      <c r="I18" s="1466"/>
      <c r="J18" s="2789" t="s">
        <v>39</v>
      </c>
      <c r="Q18" s="766">
        <v>0</v>
      </c>
    </row>
    <row customHeight="1" ht="25.5">
      <c r="D19" s="767"/>
      <c r="E19" s="185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57448">
        <v>46023</v>
      </c>
      <c r="G19" s="765"/>
      <c r="I19" s="1466"/>
      <c r="J19" s="2789"/>
      <c r="Q19" s="766">
        <v>0</v>
      </c>
    </row>
    <row customHeight="1" ht="22.5">
      <c r="D20" s="767"/>
      <c r="E20" s="768"/>
      <c r="F20" s="962" t="str">
        <f>"Первичное "&amp;IF(TEMPLATE_GROUP="P","установление тарифов","предложение по тарифам")</f>
        <v>Первичное предложение по тарифам</v>
      </c>
      <c r="G20" s="765"/>
      <c r="I20" s="1086"/>
      <c r="J20" s="1567" t="s">
        <v>40</v>
      </c>
      <c r="Q20" s="766">
        <v>0</v>
      </c>
    </row>
    <row customHeight="1" ht="19.5">
      <c r="D21" s="767"/>
      <c r="E21" s="1083" t="str">
        <f>"Дата "&amp;IF(TEMPLATE_GROUP="P","документа","подачи заявления")&amp;" об утверждении тарифов"</f>
        <v>Дата подачи заявления об утверждении тарифов</v>
      </c>
      <c r="F21" s="10254">
        <v>45044</v>
      </c>
      <c r="G21" s="765"/>
      <c r="I21" s="1467"/>
      <c r="Q21" s="766">
        <v>0</v>
      </c>
    </row>
    <row customHeight="1" ht="19.5">
      <c r="D22" s="767"/>
      <c r="E22" s="1083" t="str">
        <f>"Номер "&amp;IF(TEMPLATE_GROUP="P","документа","подачи заявления")&amp;" об утверждении тарифов"</f>
        <v>Номер подачи заявления об утверждении тарифов</v>
      </c>
      <c r="F22" s="908" t="s">
        <v>41</v>
      </c>
      <c r="G22" s="765"/>
      <c r="I22" s="1467"/>
      <c r="Q22" s="766">
        <v>0</v>
      </c>
    </row>
    <row customHeight="1" ht="22.5" hidden="1">
      <c r="D23" s="767"/>
      <c r="E23" s="1083" t="s">
        <v>42</v>
      </c>
      <c r="F23" s="908"/>
      <c r="G23" s="765"/>
      <c r="Q23" s="766">
        <v>0</v>
      </c>
    </row>
    <row customHeight="1" ht="19.5" hidden="1">
      <c r="D24" s="767"/>
      <c r="E24" s="1083" t="s">
        <v>43</v>
      </c>
      <c r="F24" s="908"/>
      <c r="G24" s="765"/>
      <c r="Q24" s="766">
        <v>0</v>
      </c>
    </row>
    <row customHeight="1" ht="22.5">
      <c r="D25" s="767"/>
      <c r="E25" s="768"/>
      <c r="F25" s="962" t="str">
        <f>"Изменение "&amp;IF(TEMPLATE_GROUP="P","тарифов","предложения по тарифам")</f>
        <v>Изменение предложения по тарифам</v>
      </c>
      <c r="G25" s="765"/>
      <c r="J25" s="1567" t="s">
        <v>44</v>
      </c>
      <c r="Q25" s="766">
        <v>0</v>
      </c>
    </row>
    <row customHeight="1" ht="19.5">
      <c r="D26" s="767"/>
      <c r="E26" s="1083" t="str">
        <f>"Дата "&amp;IF(TEMPLATE_GROUP="P","принятия решения","подачи заявления")&amp;" об изменении тарифов"</f>
        <v>Дата подачи заявления об изменении тарифов</v>
      </c>
      <c r="F26" s="57448">
        <v>45981</v>
      </c>
      <c r="G26" s="765"/>
      <c r="Q26" s="766">
        <v>0</v>
      </c>
    </row>
    <row customHeight="1" ht="19.5">
      <c r="D27" s="767"/>
      <c r="E27" s="1857" t="str">
        <f>"Номер "&amp;IF(TEMPLATE_GROUP="P","принятия решения","заявления")&amp;" об изменении тарифов"</f>
        <v>Номер заявления об изменении тарифов</v>
      </c>
      <c r="F27" s="3439" t="s">
        <v>45</v>
      </c>
      <c r="G27" s="765"/>
      <c r="Q27" s="766">
        <v>0</v>
      </c>
    </row>
    <row customHeight="1" ht="24.75" hidden="1">
      <c r="D28" s="767"/>
      <c r="E28" s="1083" t="s">
        <v>46</v>
      </c>
      <c r="F28" s="910"/>
      <c r="G28" s="765"/>
      <c r="Q28" s="766">
        <v>0</v>
      </c>
    </row>
    <row customHeight="1" ht="19.5" hidden="1">
      <c r="D29" s="767"/>
      <c r="E29" s="1083" t="s">
        <v>43</v>
      </c>
      <c r="F29" s="910"/>
      <c r="G29" s="765"/>
      <c r="Q29" s="766">
        <v>0</v>
      </c>
    </row>
    <row s="58292" customFormat="1" customHeight="1" ht="6.3">
      <c r="A30" s="1477"/>
      <c r="B30" s="924"/>
      <c r="C30" s="925"/>
      <c r="D30" s="931"/>
      <c r="E30" s="929"/>
      <c r="F30" s="932"/>
      <c r="G30" s="769"/>
      <c r="H30" s="1101"/>
      <c r="I30" s="1103"/>
      <c r="J30" s="1566"/>
      <c r="Q30" s="928">
        <v>6</v>
      </c>
    </row>
    <row customHeight="1" ht="21">
      <c r="C31" s="770"/>
      <c r="D31" s="771"/>
      <c r="E31" s="1083" t="str">
        <f>"Наименование "&amp;IF(TEMPLATE_GROUP="ROIV","органа тарифного регулирования","ЮЛ / ИП")</f>
        <v>Наименование ЮЛ / ИП</v>
      </c>
      <c r="F31" s="909" t="s">
        <v>47</v>
      </c>
      <c r="G31" s="1468"/>
      <c r="Q31" s="766">
        <v>20</v>
      </c>
    </row>
    <row customHeight="1" ht="21" hidden="1">
      <c r="C32" s="770"/>
      <c r="D32" s="771"/>
      <c r="E32" s="1084" t="s">
        <v>48</v>
      </c>
      <c r="F32" s="909"/>
      <c r="G32" s="1468"/>
      <c r="Q32" s="766">
        <v>20</v>
      </c>
    </row>
    <row customHeight="1" ht="21">
      <c r="C33" s="770"/>
      <c r="D33" s="771"/>
      <c r="E33" s="1083" t="s">
        <v>49</v>
      </c>
      <c r="F33" s="909" t="s">
        <v>50</v>
      </c>
      <c r="G33" s="1468"/>
      <c r="Q33" s="766">
        <v>20</v>
      </c>
    </row>
    <row customHeight="1" ht="21">
      <c r="C34" s="770"/>
      <c r="D34" s="771"/>
      <c r="E34" s="1083" t="s">
        <v>51</v>
      </c>
      <c r="F34" s="909" t="s">
        <v>52</v>
      </c>
      <c r="G34" s="1468"/>
      <c r="H34" s="772"/>
      <c r="Q34" s="766">
        <v>20</v>
      </c>
    </row>
    <row s="58292" customFormat="1" customHeight="1" ht="11.549999999999999">
      <c r="A35" s="1477"/>
      <c r="B35" s="924"/>
      <c r="C35" s="925"/>
      <c r="D35" s="931"/>
      <c r="E35" s="929"/>
      <c r="F35" s="932"/>
      <c r="G35" s="769"/>
      <c r="H35" s="1101"/>
      <c r="I35" s="1103"/>
      <c r="J35" s="1566"/>
      <c r="Q35" s="928">
        <v>11</v>
      </c>
    </row>
    <row customHeight="1" ht="19.5">
      <c r="A36" s="1571"/>
      <c r="D36" s="771"/>
      <c r="E36" s="1083" t="s">
        <v>53</v>
      </c>
      <c r="F36" s="3448" t="s">
        <v>54</v>
      </c>
      <c r="G36" s="769"/>
      <c r="Q36" s="766">
        <v>0</v>
      </c>
    </row>
    <row customHeight="1" ht="21">
      <c r="A37" s="1571"/>
      <c r="D37" s="771"/>
      <c r="E37" s="1083" t="s">
        <v>55</v>
      </c>
      <c r="F37" s="3448" t="s">
        <v>56</v>
      </c>
      <c r="G37" s="769"/>
      <c r="Q37" s="766">
        <v>20</v>
      </c>
    </row>
    <row s="58292" customFormat="1" customHeight="1" ht="6.3">
      <c r="A38" s="1477"/>
      <c r="B38" s="924"/>
      <c r="C38" s="925"/>
      <c r="D38" s="926"/>
      <c r="E38" s="927"/>
      <c r="F38" s="1745"/>
      <c r="G38" s="765"/>
      <c r="H38" s="1101"/>
      <c r="I38" s="1103"/>
      <c r="J38" s="1568"/>
      <c r="Q38" s="928">
        <v>6</v>
      </c>
    </row>
    <row customHeight="1" ht="36.75">
      <c r="A39" s="1477"/>
      <c r="D39" s="767"/>
      <c r="E39" s="1083" t="s">
        <v>57</v>
      </c>
      <c r="F39" s="1402" t="s">
        <v>19</v>
      </c>
      <c r="G39" s="765"/>
      <c r="H39" s="1465" t="s">
        <v>22</v>
      </c>
      <c r="Q39" s="766">
        <v>35</v>
      </c>
    </row>
    <row s="58292" customFormat="1" customHeight="1" ht="6" hidden="1">
      <c r="A40" s="1476"/>
      <c r="B40" s="1118"/>
      <c r="C40" s="1119"/>
      <c r="D40" s="1120"/>
      <c r="E40" s="1121"/>
      <c r="F40" s="1745"/>
      <c r="G40" s="765"/>
      <c r="H40" s="1101"/>
      <c r="I40" s="1103"/>
      <c r="J40" s="1568"/>
      <c r="Q40" s="1122">
        <v>6</v>
      </c>
    </row>
    <row s="62286" customFormat="1" customHeight="1" ht="26.25" hidden="1">
      <c r="A41" s="1480" t="s">
        <v>26</v>
      </c>
      <c r="B41" s="1105"/>
      <c r="C41" s="1100"/>
      <c r="D41" s="1102"/>
      <c r="E41" s="1083"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402" t="s">
        <v>19</v>
      </c>
      <c r="G41" s="765"/>
      <c r="I41" s="1103"/>
      <c r="J41" s="1568"/>
      <c r="Q41" s="1101">
        <v>0</v>
      </c>
    </row>
    <row s="58292" customFormat="1" customHeight="1" ht="6">
      <c r="A42" s="1476"/>
      <c r="B42" s="1118"/>
      <c r="C42" s="1119"/>
      <c r="D42" s="1120"/>
      <c r="E42" s="1121"/>
      <c r="F42" s="1745"/>
      <c r="G42" s="765"/>
      <c r="H42" s="1101"/>
      <c r="I42" s="1103"/>
      <c r="J42" s="1566"/>
      <c r="Q42" s="1122">
        <v>0</v>
      </c>
    </row>
    <row s="62286" customFormat="1" customHeight="1" ht="27" hidden="1">
      <c r="A43" s="1476"/>
      <c r="B43" s="1105"/>
      <c r="C43" s="1100"/>
      <c r="D43" s="1102"/>
      <c r="E43" s="1083" t="s">
        <v>58</v>
      </c>
      <c r="F43" s="1402" t="s">
        <v>19</v>
      </c>
      <c r="G43" s="765"/>
      <c r="I43" s="1103"/>
      <c r="J43" s="1568"/>
      <c r="Q43" s="1101">
        <v>0</v>
      </c>
    </row>
    <row s="62286" customFormat="1" customHeight="1" ht="27" hidden="1">
      <c r="A44" s="1476"/>
      <c r="B44" s="1105"/>
      <c r="C44" s="1100"/>
      <c r="D44" s="1102"/>
      <c r="E44" s="1857" t="s">
        <v>59</v>
      </c>
      <c r="F44" s="2580"/>
      <c r="G44" s="765"/>
      <c r="I44" s="1103"/>
      <c r="J44" s="1568"/>
      <c r="Q44" s="1101">
        <v>0</v>
      </c>
    </row>
    <row s="58292" customFormat="1" customHeight="1" ht="6">
      <c r="A45" s="1476"/>
      <c r="B45" s="1118"/>
      <c r="C45" s="1119"/>
      <c r="D45" s="1120"/>
      <c r="E45" s="1121"/>
      <c r="F45" s="1745"/>
      <c r="G45" s="765"/>
      <c r="H45" s="1101"/>
      <c r="I45" s="1103"/>
      <c r="J45" s="1568"/>
      <c r="Q45" s="1122">
        <v>0</v>
      </c>
    </row>
    <row s="58292" customFormat="1" customHeight="1" ht="24.75">
      <c r="A46" s="1476"/>
      <c r="B46" s="1118"/>
      <c r="C46" s="1119"/>
      <c r="D46" s="1120"/>
      <c r="E46" s="1857" t="s">
        <v>60</v>
      </c>
      <c r="F46" s="1402" t="s">
        <v>19</v>
      </c>
      <c r="G46" s="765"/>
      <c r="H46" s="1101"/>
      <c r="I46" s="1103"/>
      <c r="J46" s="1568"/>
      <c r="Q46" s="1122">
        <v>0</v>
      </c>
    </row>
    <row s="62286" customFormat="1" customHeight="1" ht="24.75">
      <c r="A47" s="1476"/>
      <c r="B47" s="1105"/>
      <c r="C47" s="1100"/>
      <c r="D47" s="1102"/>
      <c r="E47" s="1857" t="s">
        <v>61</v>
      </c>
      <c r="F47" s="1402" t="s">
        <v>19</v>
      </c>
      <c r="G47" s="765"/>
      <c r="I47" s="1103"/>
      <c r="J47" s="1568"/>
      <c r="Q47" s="1101">
        <v>0</v>
      </c>
    </row>
    <row s="58292" customFormat="1" customHeight="1" ht="6" hidden="1">
      <c r="A48" s="1476"/>
      <c r="B48" s="924"/>
      <c r="C48" s="925"/>
      <c r="D48" s="926"/>
      <c r="E48" s="927"/>
      <c r="F48" s="1745"/>
      <c r="G48" s="765"/>
      <c r="H48" s="1101"/>
      <c r="I48" s="1103"/>
      <c r="J48" s="1568"/>
      <c r="Q48" s="928">
        <v>0</v>
      </c>
    </row>
    <row customHeight="1" ht="29.25" hidden="1">
      <c r="B49" s="840"/>
      <c r="D49" s="767"/>
      <c r="E49" s="108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402"/>
      <c r="G49" s="765"/>
      <c r="Q49" s="766">
        <v>0</v>
      </c>
    </row>
    <row s="58292" customFormat="1" customHeight="1" ht="6" hidden="1">
      <c r="A50" s="1477"/>
      <c r="B50" s="1118"/>
      <c r="C50" s="1119"/>
      <c r="D50" s="931"/>
      <c r="E50" s="929"/>
      <c r="F50" s="932"/>
      <c r="G50" s="769"/>
      <c r="H50" s="1101"/>
      <c r="I50" s="1103"/>
      <c r="J50" s="1568"/>
      <c r="Q50" s="1122">
        <v>0</v>
      </c>
    </row>
    <row s="62286" customFormat="1" customHeight="1" ht="28.5" hidden="1">
      <c r="A51" s="1478"/>
      <c r="B51" s="1105"/>
      <c r="C51" s="1222"/>
      <c r="D51" s="1223"/>
      <c r="E51" s="1083" t="s">
        <v>62</v>
      </c>
      <c r="F51" s="1402" t="s">
        <v>19</v>
      </c>
      <c r="G51" s="1224"/>
      <c r="I51" s="1226"/>
      <c r="J51" s="1570"/>
      <c r="P51" s="1227"/>
      <c r="Q51" s="1225">
        <v>0</v>
      </c>
    </row>
    <row s="58292" customFormat="1" customHeight="1" ht="6" hidden="1">
      <c r="A52" s="1477"/>
      <c r="B52" s="1118"/>
      <c r="C52" s="1119"/>
      <c r="D52" s="931"/>
      <c r="E52" s="929"/>
      <c r="F52" s="932"/>
      <c r="G52" s="769"/>
      <c r="H52" s="1101"/>
      <c r="I52" s="1103"/>
      <c r="J52" s="1566"/>
      <c r="Q52" s="1122">
        <v>0</v>
      </c>
    </row>
    <row s="62286" customFormat="1" customHeight="1" ht="27" hidden="1">
      <c r="A53" s="1478"/>
      <c r="B53" s="1105"/>
      <c r="C53" s="1222"/>
      <c r="D53" s="1223"/>
      <c r="E53" s="1083" t="s">
        <v>63</v>
      </c>
      <c r="F53" s="1740" t="s">
        <v>19</v>
      </c>
      <c r="G53" s="1224"/>
      <c r="I53" s="1226"/>
      <c r="J53" s="1570"/>
      <c r="P53" s="1227"/>
      <c r="Q53" s="1225">
        <v>0</v>
      </c>
    </row>
    <row s="62286" customFormat="1" customHeight="1" ht="27" hidden="1">
      <c r="A54" s="1478"/>
      <c r="B54" s="1105"/>
      <c r="C54" s="1222"/>
      <c r="D54" s="1223"/>
      <c r="E54" s="1083" t="s">
        <v>64</v>
      </c>
      <c r="F54" s="2466"/>
      <c r="G54" s="1224"/>
      <c r="I54" s="1226"/>
      <c r="J54" s="1570"/>
      <c r="P54" s="1227"/>
      <c r="Q54" s="1225">
        <v>0</v>
      </c>
    </row>
    <row s="58292" customFormat="1" customHeight="1" ht="6" hidden="1">
      <c r="A55" s="1477"/>
      <c r="B55" s="1118"/>
      <c r="C55" s="1119"/>
      <c r="D55" s="931"/>
      <c r="E55" s="929"/>
      <c r="F55" s="932"/>
      <c r="G55" s="769"/>
      <c r="H55" s="1101"/>
      <c r="I55" s="1103"/>
      <c r="J55" s="1566"/>
      <c r="Q55" s="1122">
        <v>0</v>
      </c>
    </row>
    <row s="62286" customFormat="1" customHeight="1" ht="25.5" hidden="1">
      <c r="A56" s="1478"/>
      <c r="B56" s="1105"/>
      <c r="C56" s="1222"/>
      <c r="D56" s="1223"/>
      <c r="E56" s="1083" t="s">
        <v>65</v>
      </c>
      <c r="F56" s="1740" t="s">
        <v>19</v>
      </c>
      <c r="G56" s="1224"/>
      <c r="I56" s="1226"/>
      <c r="J56" s="1570"/>
      <c r="P56" s="1227"/>
      <c r="Q56" s="1225">
        <v>0</v>
      </c>
    </row>
    <row s="58292" customFormat="1" customHeight="1" ht="6" hidden="1">
      <c r="A57" s="1477"/>
      <c r="B57" s="1118"/>
      <c r="C57" s="1119"/>
      <c r="D57" s="931"/>
      <c r="E57" s="929"/>
      <c r="F57" s="932"/>
      <c r="G57" s="769"/>
      <c r="H57" s="1101"/>
      <c r="I57" s="1103"/>
      <c r="J57" s="1566"/>
      <c r="Q57" s="1122">
        <v>0</v>
      </c>
    </row>
    <row s="62286" customFormat="1" customHeight="1" ht="15" hidden="1">
      <c r="A58" s="1478"/>
      <c r="B58" s="1105"/>
      <c r="C58" s="1222"/>
      <c r="D58" s="1223"/>
      <c r="E58" s="1083" t="s">
        <v>66</v>
      </c>
      <c r="F58" s="1740" t="s">
        <v>67</v>
      </c>
      <c r="G58" s="1224"/>
      <c r="I58" s="1226"/>
      <c r="J58" s="1570"/>
      <c r="P58" s="1227"/>
      <c r="Q58" s="1225">
        <v>0</v>
      </c>
    </row>
    <row s="62286" customFormat="1" customHeight="1" ht="75" hidden="1">
      <c r="A59" s="1478"/>
      <c r="B59" s="1105"/>
      <c r="C59" s="1222"/>
      <c r="D59" s="1223"/>
      <c r="E59" s="108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881"/>
      <c r="G59" s="1224"/>
      <c r="I59" s="1226"/>
      <c r="J59" s="1570"/>
      <c r="P59" s="1227"/>
      <c r="Q59" s="1225">
        <v>0</v>
      </c>
    </row>
    <row s="62286" customFormat="1" customHeight="1" ht="15" hidden="1">
      <c r="A60" s="1478"/>
      <c r="B60" s="1105"/>
      <c r="C60" s="1222"/>
      <c r="D60" s="1223"/>
      <c r="E60" s="1857" t="s">
        <v>68</v>
      </c>
      <c r="F60" s="1843"/>
      <c r="G60" s="1224"/>
      <c r="I60" s="1226"/>
      <c r="J60" s="1570"/>
      <c r="P60" s="1227"/>
      <c r="Q60" s="1225">
        <v>0</v>
      </c>
    </row>
    <row s="58292" customFormat="1" customHeight="1" ht="6" hidden="1">
      <c r="A61" s="1477"/>
      <c r="B61" s="1118"/>
      <c r="C61" s="1119"/>
      <c r="D61" s="1120"/>
      <c r="E61" s="1121"/>
      <c r="F61" s="1745"/>
      <c r="G61" s="765"/>
      <c r="H61" s="1101"/>
      <c r="I61" s="1103"/>
      <c r="J61" s="1568"/>
      <c r="Q61" s="1122">
        <v>0</v>
      </c>
    </row>
    <row s="62286" customFormat="1" customHeight="1" ht="33.75" hidden="1">
      <c r="A62" s="1477"/>
      <c r="B62" s="790"/>
      <c r="C62" s="1100"/>
      <c r="D62" s="1102"/>
      <c r="E62" s="1857" t="s">
        <v>69</v>
      </c>
      <c r="F62" s="2363" t="s">
        <v>67</v>
      </c>
      <c r="G62" s="765"/>
      <c r="H62" s="1465" t="s">
        <v>22</v>
      </c>
      <c r="I62" s="1103"/>
      <c r="J62" s="1568"/>
      <c r="Q62" s="1101">
        <v>0</v>
      </c>
    </row>
    <row s="58292" customFormat="1" customHeight="1" ht="6.3">
      <c r="A63" s="1477"/>
      <c r="B63" s="924"/>
      <c r="C63" s="925"/>
      <c r="D63" s="931"/>
      <c r="E63" s="929"/>
      <c r="F63" s="932"/>
      <c r="G63" s="769"/>
      <c r="H63" s="1101"/>
      <c r="I63" s="1103"/>
      <c r="J63" s="1566"/>
      <c r="Q63" s="928">
        <v>6</v>
      </c>
    </row>
    <row customHeight="1" ht="21">
      <c r="A64" s="1479"/>
      <c r="B64" s="791"/>
      <c r="D64" s="774"/>
      <c r="E64" s="1083" t="s">
        <v>70</v>
      </c>
      <c r="F64" s="908" t="s">
        <v>71</v>
      </c>
      <c r="G64" s="769"/>
      <c r="Q64" s="766">
        <v>20</v>
      </c>
    </row>
    <row customHeight="1" ht="21">
      <c r="A65" s="1479"/>
      <c r="B65" s="791"/>
      <c r="D65" s="774"/>
      <c r="E65" s="1083" t="s">
        <v>72</v>
      </c>
      <c r="F65" s="908" t="s">
        <v>73</v>
      </c>
      <c r="G65" s="769"/>
      <c r="Q65" s="766">
        <v>20</v>
      </c>
    </row>
    <row customHeight="1" ht="36.75">
      <c r="D66" s="767"/>
      <c r="E66" s="1085" t="s">
        <v>74</v>
      </c>
      <c r="F66" s="1746"/>
      <c r="G66" s="765"/>
      <c r="Q66" s="766">
        <v>35</v>
      </c>
    </row>
    <row customHeight="1" ht="21">
      <c r="A67" s="1479"/>
      <c r="D67" s="1102"/>
      <c r="E67" s="1083" t="s">
        <v>75</v>
      </c>
      <c r="F67" s="963" t="s">
        <v>76</v>
      </c>
      <c r="G67" s="769"/>
      <c r="Q67" s="766">
        <v>20</v>
      </c>
    </row>
    <row customHeight="1" ht="21">
      <c r="A68" s="1479"/>
      <c r="B68" s="791"/>
      <c r="D68" s="774"/>
      <c r="E68" s="1083" t="s">
        <v>77</v>
      </c>
      <c r="F68" s="963" t="s">
        <v>78</v>
      </c>
      <c r="G68" s="769"/>
      <c r="Q68" s="766">
        <v>20</v>
      </c>
    </row>
    <row customHeight="1" ht="21">
      <c r="A69" s="1479"/>
      <c r="B69" s="791"/>
      <c r="D69" s="774"/>
      <c r="E69" s="1083" t="s">
        <v>79</v>
      </c>
      <c r="F69" s="963" t="s">
        <v>80</v>
      </c>
      <c r="G69" s="769"/>
      <c r="Q69" s="766">
        <v>20</v>
      </c>
    </row>
    <row customHeight="1" ht="21">
      <c r="D70" s="1102"/>
      <c r="E70" s="1083" t="s">
        <v>81</v>
      </c>
      <c r="F70" s="27989" t="s">
        <v>82</v>
      </c>
      <c r="G70" s="765"/>
      <c r="Q70" s="766">
        <v>20</v>
      </c>
    </row>
    <row customHeight="1" ht="21">
      <c r="A71" s="1479"/>
      <c r="D71" s="765"/>
      <c r="F71" s="825"/>
      <c r="G71" s="769"/>
      <c r="Q71" s="766">
        <v>20</v>
      </c>
    </row>
    <row customHeight="1" ht="21">
      <c r="A72" s="1479"/>
      <c r="B72" s="791"/>
      <c r="D72" s="774"/>
      <c r="E72" s="773"/>
      <c r="F72" s="1725" t="s">
        <v>13</v>
      </c>
      <c r="G72" s="769"/>
      <c r="Q72" s="766">
        <v>20</v>
      </c>
    </row>
    <row customHeight="1" ht="21">
      <c r="A73" s="1479"/>
      <c r="B73" s="791"/>
      <c r="D73" s="774"/>
      <c r="E73" s="773"/>
      <c r="F73" s="826"/>
      <c r="G73" s="769"/>
      <c r="Q73" s="766">
        <v>20</v>
      </c>
    </row>
    <row customHeight="1" ht="21">
      <c r="A74" s="1479"/>
      <c r="B74" s="791"/>
      <c r="D74" s="774"/>
      <c r="E74" s="778"/>
      <c r="F74" s="826"/>
      <c r="G74" s="769"/>
      <c r="Q74" s="766">
        <v>20</v>
      </c>
    </row>
    <row customHeight="1" ht="21">
      <c r="A75" s="1479"/>
      <c r="B75" s="791"/>
      <c r="D75" s="774"/>
      <c r="E75" s="773"/>
      <c r="F75" s="826"/>
      <c r="G75" s="769"/>
      <c r="Q75" s="766">
        <v>20</v>
      </c>
    </row>
    <row customHeight="1" ht="11.549999999999999">
      <c r="Q76" s="766">
        <v>11</v>
      </c>
    </row>
    <row customHeight="1" ht="11.549999999999999">
      <c r="Q77" s="766">
        <v>11</v>
      </c>
    </row>
    <row customHeight="1" ht="11.549999999999999">
      <c r="E78" s="1082"/>
      <c r="F78" s="1082"/>
      <c r="G78" s="1082"/>
      <c r="H78" s="1082"/>
      <c r="I78" s="1082"/>
      <c r="Q78" s="766">
        <v>11</v>
      </c>
    </row>
    <row customHeight="1" ht="11.25" hidden="1">
      <c r="A79" s="1476" t="s">
        <v>83</v>
      </c>
      <c r="B79" s="790">
        <v>0</v>
      </c>
      <c r="C79" s="764">
        <v>3</v>
      </c>
      <c r="D79" s="766">
        <v>1</v>
      </c>
      <c r="E79" s="766">
        <v>55</v>
      </c>
      <c r="F79" s="766">
        <v>54</v>
      </c>
      <c r="G79" s="1463">
        <v>1</v>
      </c>
      <c r="H79" s="1101">
        <v>0</v>
      </c>
      <c r="I79" s="1103">
        <v>59</v>
      </c>
      <c r="J79" s="1568">
        <v>0</v>
      </c>
      <c r="K79" s="766">
        <v>8</v>
      </c>
      <c r="L79" s="766">
        <v>77</v>
      </c>
      <c r="M79" s="766">
        <v>8</v>
      </c>
      <c r="N79" s="766">
        <v>8</v>
      </c>
      <c r="O79" s="766">
        <v>8</v>
      </c>
      <c r="P79" s="766">
        <v>8</v>
      </c>
      <c r="Q79" s="766">
        <v>11</v>
      </c>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BAC6E1DB-C402-8F4F-5418-C5EE7721347E}"/>
    <hyperlink ref="H17" location="Титульный!H9" display="Как заполнить?" tooltip="Помощь по работе с полями отчётной формы" xr:uid="{92C5AAC1-FD5F-C0CB-B788-1BB7D57BFDAC}"/>
    <hyperlink ref="H39" location="Титульный!H9" display="Как заполнить?" tooltip="Помощь по работе с полями отчётной формы" xr:uid="{EE58579D-94D2-4DE6-67FD-7B71F08A1E32}"/>
    <hyperlink ref="H62" location="Титульный!H9" display="Как заполнить?" tooltip="Помощь по работе с полями отчётной формы" xr:uid="{D137DD82-02E5-C1C6-D8DC-16B6A2552EEC}"/>
    <hyperlink ref="F70" r:id="rId4" xr:uid="{9B640F86-6C8B-B021-FD3B-1D9C93BB6F8D}"/>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D340EB-10D8-729D-016C-473DC20AA7F2}"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2.00390625" hidden="1" customWidth="1"/>
    <col min="10" max="10" style="62148" width="9.8515625" hidden="1" customWidth="1"/>
    <col min="11" max="11" style="62148" width="11.421875" hidden="1" customWidth="1"/>
    <col min="12" max="12" style="63164" width="19.140625" hidden="1" customWidth="1"/>
    <col min="13" max="14" style="61371" width="12.28125" hidden="1" customWidth="1"/>
    <col min="15" max="15" style="61371" width="23.421875" hidden="1" customWidth="1"/>
    <col min="16" max="16" style="61371" width="3.00390625" customWidth="1"/>
    <col min="17" max="17" style="61437" width="3.00390625" customWidth="1"/>
    <col min="18" max="18" style="62288" width="3.00390625" customWidth="1"/>
    <col min="19" max="19" style="63156" width="12.00390625" customWidth="1"/>
    <col min="20" max="20" style="62286" width="31.00390625" customWidth="1"/>
    <col min="21" max="21" style="62286" width="0.140625" customWidth="1"/>
    <col min="22" max="23" style="62286" width="21.7109375" hidden="1" customWidth="1"/>
    <col min="24" max="24" style="62286" width="11.7109375" hidden="1" customWidth="1"/>
    <col min="25" max="25" style="62286" width="3.7109375" hidden="1" customWidth="1"/>
    <col min="26" max="26" style="62286" width="11.7109375" hidden="1" customWidth="1"/>
    <col min="27" max="27" style="62286" width="8.57421875" hidden="1" customWidth="1"/>
    <col min="28" max="28" style="62286" width="5.421875" customWidth="1"/>
    <col min="29" max="30" style="62286" width="3.00390625" customWidth="1"/>
    <col min="31" max="31" style="62286" width="24.00390625" customWidth="1"/>
    <col min="32" max="32" style="62286" width="3.7109375" customWidth="1"/>
    <col min="33" max="34" style="62286" width="3.00390625" customWidth="1"/>
    <col min="35" max="35" style="62286" width="24.00390625" customWidth="1"/>
    <col min="36" max="36" style="62286" width="3.7109375" customWidth="1"/>
    <col min="37" max="38" style="62286" width="3.00390625" customWidth="1"/>
    <col min="39" max="39" style="62286" width="18.00390625" customWidth="1"/>
    <col min="40" max="41" style="62286" width="21.00390625" customWidth="1"/>
    <col min="42" max="42" style="62286" width="11.00390625" customWidth="1"/>
    <col min="43" max="43" style="62286" width="3.7109375" customWidth="1"/>
    <col min="44" max="44" style="62286" width="11.00390625" customWidth="1"/>
    <col min="45" max="45" style="62286" width="8.57421875" hidden="1" customWidth="1"/>
    <col min="46" max="46" style="62286" width="4.00390625" customWidth="1"/>
    <col min="47" max="47" style="62286" width="115.00390625" customWidth="1"/>
    <col min="48" max="52" style="61695" width="10.00390625" customWidth="1"/>
    <col min="53" max="53" style="62286" width="10.57421875" hidden="1"/>
  </cols>
  <sheetData>
    <row customHeight="1" ht="22.5" hidden="1">
      <c r="W1" s="1019"/>
      <c r="X1" s="1019"/>
      <c r="AO1" s="1019"/>
      <c r="AP1" s="1019"/>
      <c r="BA1" s="1847" t="s">
        <v>14</v>
      </c>
    </row>
    <row customHeight="1" ht="21" hidden="1">
      <c r="A2" s="2055"/>
      <c r="B2" s="2055"/>
      <c r="C2" s="2055"/>
      <c r="D2" s="2055"/>
      <c r="E2" s="2950">
        <v>1</v>
      </c>
      <c r="F2" s="2055"/>
      <c r="G2" s="2055"/>
      <c r="H2" s="2055"/>
      <c r="I2" s="2055"/>
      <c r="J2" s="2055"/>
      <c r="K2" s="2055"/>
      <c r="L2" s="2056"/>
      <c r="M2" s="2057"/>
      <c r="N2" s="2057"/>
      <c r="O2" s="2057"/>
      <c r="P2" s="2101"/>
      <c r="Q2" s="1565"/>
      <c r="R2" s="1047"/>
      <c r="S2" s="2028">
        <f>INDEX(PT_DIFFERENTIATION_NUM_NTAR,MATCH(A2,PT_DIFFERENTIATION_NTAR_ID,0))</f>
      </c>
      <c r="T2" s="990" t="s">
        <v>131</v>
      </c>
      <c r="U2" s="992"/>
      <c r="V2" s="2935"/>
      <c r="W2" s="2935"/>
      <c r="X2" s="2935"/>
      <c r="Y2" s="2935"/>
      <c r="Z2" s="2935"/>
      <c r="AA2" s="2936"/>
      <c r="AB2" s="2934">
        <f>INDEX(PT_DIFFERENTIATION_NTAR,MATCH(A2,PT_DIFFERENTIATION_NTAR_ID,0))</f>
      </c>
      <c r="AC2" s="2935"/>
      <c r="AD2" s="2935"/>
      <c r="AE2" s="2935"/>
      <c r="AF2" s="2935"/>
      <c r="AG2" s="2935"/>
      <c r="AH2" s="2935"/>
      <c r="AI2" s="2935"/>
      <c r="AJ2" s="2935"/>
      <c r="AK2" s="2935"/>
      <c r="AL2" s="2935"/>
      <c r="AM2" s="2935"/>
      <c r="AN2" s="2935"/>
      <c r="AO2" s="2935"/>
      <c r="AP2" s="2935"/>
      <c r="AQ2" s="2935"/>
      <c r="AR2" s="2935"/>
      <c r="AS2" s="2935"/>
      <c r="AT2" s="2936"/>
      <c r="AU2" s="1950" t="s">
        <v>471</v>
      </c>
      <c r="AW2" s="1192"/>
      <c r="AX2" s="1192" t="str">
        <f>IF(T2="","",T2)</f>
        <v>Наименование тарифа</v>
      </c>
      <c r="AY2" s="1192"/>
      <c r="AZ2" s="1192"/>
      <c r="BA2" s="1847">
        <v>0</v>
      </c>
    </row>
    <row customHeight="1" ht="21" hidden="1">
      <c r="A3" s="2055"/>
      <c r="B3" s="2055"/>
      <c r="C3" s="2055"/>
      <c r="D3" s="2055"/>
      <c r="E3" s="2951"/>
      <c r="F3" s="2950">
        <v>1</v>
      </c>
      <c r="G3" s="2055"/>
      <c r="H3" s="2055"/>
      <c r="I3" s="2055"/>
      <c r="J3" s="2055"/>
      <c r="K3" s="2055"/>
      <c r="L3" s="2056"/>
      <c r="M3" s="2057"/>
      <c r="N3" s="2057"/>
      <c r="O3" s="2057"/>
      <c r="P3" s="2102"/>
      <c r="Q3" s="2103"/>
      <c r="R3" s="1045"/>
      <c r="S3" s="2028">
        <f>INDEX(PT_DIFFERENTIATION_NUM_TER,MATCH(B3,PT_DIFFERENTIATION_TER_ID,0))</f>
      </c>
      <c r="T3" s="1000" t="s">
        <v>472</v>
      </c>
      <c r="U3" s="992"/>
      <c r="V3" s="2935"/>
      <c r="W3" s="2935"/>
      <c r="X3" s="2935"/>
      <c r="Y3" s="2935"/>
      <c r="Z3" s="2935"/>
      <c r="AA3" s="2936"/>
      <c r="AB3" s="2934">
        <f>INDEX(PT_DIFFERENTIATION_TER,MATCH(B3,PT_DIFFERENTIATION_TER_ID,0))</f>
      </c>
      <c r="AC3" s="2935"/>
      <c r="AD3" s="2935"/>
      <c r="AE3" s="2935"/>
      <c r="AF3" s="2935"/>
      <c r="AG3" s="2935"/>
      <c r="AH3" s="2935"/>
      <c r="AI3" s="2935"/>
      <c r="AJ3" s="2935"/>
      <c r="AK3" s="2935"/>
      <c r="AL3" s="2935"/>
      <c r="AM3" s="2935"/>
      <c r="AN3" s="2935"/>
      <c r="AO3" s="2935"/>
      <c r="AP3" s="2935"/>
      <c r="AQ3" s="2935"/>
      <c r="AR3" s="2935"/>
      <c r="AS3" s="2935"/>
      <c r="AT3" s="2936"/>
      <c r="AU3" s="1950" t="s">
        <v>473</v>
      </c>
      <c r="AW3" s="1192"/>
      <c r="AX3" s="1192" t="str">
        <f>IF(T3="","",T3)</f>
        <v>Территория действия тарифа</v>
      </c>
      <c r="AY3" s="1192"/>
      <c r="AZ3" s="1192"/>
      <c r="BA3" s="1847">
        <v>0</v>
      </c>
    </row>
    <row customHeight="1" ht="22.5" hidden="1">
      <c r="A4" s="2055"/>
      <c r="B4" s="2055"/>
      <c r="C4" s="2055"/>
      <c r="D4" s="2055"/>
      <c r="E4" s="2951"/>
      <c r="F4" s="2951"/>
      <c r="G4" s="2950">
        <v>1</v>
      </c>
      <c r="H4" s="2055"/>
      <c r="I4" s="2055"/>
      <c r="J4" s="2055"/>
      <c r="K4" s="2055"/>
      <c r="L4" s="2056"/>
      <c r="M4" s="2057"/>
      <c r="N4" s="2057"/>
      <c r="O4" s="2057"/>
      <c r="P4" s="2104"/>
      <c r="Q4" s="2103"/>
      <c r="R4" s="1045"/>
      <c r="S4" s="2028">
        <f>INDEX(PT_DIFFERENTIATION_NUM_CS,MATCH(C4,PT_DIFFERENTIATION_CS_ID,0))</f>
      </c>
      <c r="T4" s="1001" t="s">
        <v>474</v>
      </c>
      <c r="U4" s="992"/>
      <c r="V4" s="2935"/>
      <c r="W4" s="2935"/>
      <c r="X4" s="2935"/>
      <c r="Y4" s="2935"/>
      <c r="Z4" s="2935"/>
      <c r="AA4" s="2936"/>
      <c r="AB4" s="2934">
        <f>INDEX(PT_DIFFERENTIATION_CS,MATCH(C4,PT_DIFFERENTIATION_CS_ID,0))</f>
      </c>
      <c r="AC4" s="2935"/>
      <c r="AD4" s="2935"/>
      <c r="AE4" s="2935"/>
      <c r="AF4" s="2935"/>
      <c r="AG4" s="2935"/>
      <c r="AH4" s="2935"/>
      <c r="AI4" s="2935"/>
      <c r="AJ4" s="2935"/>
      <c r="AK4" s="2935"/>
      <c r="AL4" s="2935"/>
      <c r="AM4" s="2935"/>
      <c r="AN4" s="2935"/>
      <c r="AO4" s="2935"/>
      <c r="AP4" s="2935"/>
      <c r="AQ4" s="2935"/>
      <c r="AR4" s="2935"/>
      <c r="AS4" s="2935"/>
      <c r="AT4" s="2936"/>
      <c r="AU4" s="1950" t="s">
        <v>475</v>
      </c>
      <c r="AW4" s="1192"/>
      <c r="AX4" s="1192" t="str">
        <f>IF(T4="","",T4)</f>
        <v>Наименование системы теплоснабжения </v>
      </c>
      <c r="AY4" s="1192"/>
      <c r="AZ4" s="1192"/>
      <c r="BA4" s="1847">
        <v>0</v>
      </c>
    </row>
    <row customHeight="1" ht="21" hidden="1">
      <c r="A5" s="2055"/>
      <c r="B5" s="2055"/>
      <c r="C5" s="2055"/>
      <c r="D5" s="2055"/>
      <c r="E5" s="2951"/>
      <c r="F5" s="2951"/>
      <c r="G5" s="2951"/>
      <c r="H5" s="2950">
        <v>1</v>
      </c>
      <c r="I5" s="2055"/>
      <c r="J5" s="2055"/>
      <c r="K5" s="2055"/>
      <c r="L5" s="2056"/>
      <c r="M5" s="2057"/>
      <c r="N5" s="2057"/>
      <c r="O5" s="2057"/>
      <c r="P5" s="2104"/>
      <c r="Q5" s="2103"/>
      <c r="R5" s="1045"/>
      <c r="S5" s="2028">
        <f>INDEX(PT_DIFFERENTIATION_NUM_IST_TE,MATCH(D5,PT_DIFFERENTIATION_IST_TE_ID,0))</f>
      </c>
      <c r="T5" s="1002" t="s">
        <v>476</v>
      </c>
      <c r="U5" s="992"/>
      <c r="V5" s="2935"/>
      <c r="W5" s="2935"/>
      <c r="X5" s="2935"/>
      <c r="Y5" s="2935"/>
      <c r="Z5" s="2935"/>
      <c r="AA5" s="2936"/>
      <c r="AB5" s="2934">
        <f>INDEX(PT_DIFFERENTIATION_IST_TE,MATCH(D5,PT_DIFFERENTIATION_IST_TE_ID,0))</f>
      </c>
      <c r="AC5" s="2935"/>
      <c r="AD5" s="2935"/>
      <c r="AE5" s="2935"/>
      <c r="AF5" s="2935"/>
      <c r="AG5" s="2935"/>
      <c r="AH5" s="2935"/>
      <c r="AI5" s="2935"/>
      <c r="AJ5" s="2935"/>
      <c r="AK5" s="2935"/>
      <c r="AL5" s="2935"/>
      <c r="AM5" s="2935"/>
      <c r="AN5" s="2935"/>
      <c r="AO5" s="2935"/>
      <c r="AP5" s="2935"/>
      <c r="AQ5" s="2935"/>
      <c r="AR5" s="2935"/>
      <c r="AS5" s="2935"/>
      <c r="AT5" s="2936"/>
      <c r="AU5" s="1950" t="s">
        <v>477</v>
      </c>
      <c r="AW5" s="1192"/>
      <c r="AX5" s="1192" t="str">
        <f>IF(T5="","",T5)</f>
        <v>Источник тепловой энергии  </v>
      </c>
      <c r="AY5" s="1192"/>
      <c r="AZ5" s="1192"/>
      <c r="BA5" s="1847">
        <v>0</v>
      </c>
    </row>
    <row s="61695" customFormat="1" customHeight="1" ht="0.75" hidden="1">
      <c r="A6" s="2035"/>
      <c r="B6" s="2035"/>
      <c r="C6" s="2035"/>
      <c r="D6" s="2035"/>
      <c r="E6" s="2951"/>
      <c r="F6" s="2951"/>
      <c r="G6" s="2951"/>
      <c r="H6" s="2951"/>
      <c r="I6" s="2948">
        <f>S5&amp;".1"</f>
      </c>
      <c r="J6" s="2035"/>
      <c r="K6" s="2035"/>
      <c r="L6" s="2038" t="s">
        <v>478</v>
      </c>
      <c r="M6" s="1202"/>
      <c r="N6" s="1202"/>
      <c r="O6" s="1202"/>
      <c r="P6" s="2949">
        <v>1</v>
      </c>
      <c r="Q6" s="2023"/>
      <c r="R6" s="1048"/>
      <c r="S6" s="1734"/>
      <c r="T6" s="2075"/>
      <c r="U6" s="2076"/>
      <c r="V6" s="2989"/>
      <c r="W6" s="2989"/>
      <c r="X6" s="2989"/>
      <c r="Y6" s="2989"/>
      <c r="Z6" s="2989"/>
      <c r="AA6" s="2990"/>
      <c r="AB6" s="2988"/>
      <c r="AC6" s="2989"/>
      <c r="AD6" s="2989"/>
      <c r="AE6" s="2989"/>
      <c r="AF6" s="2989"/>
      <c r="AG6" s="2989"/>
      <c r="AH6" s="2989"/>
      <c r="AI6" s="2989"/>
      <c r="AJ6" s="2989"/>
      <c r="AK6" s="2989"/>
      <c r="AL6" s="2989"/>
      <c r="AM6" s="2989"/>
      <c r="AN6" s="2989"/>
      <c r="AO6" s="2989"/>
      <c r="AP6" s="2989"/>
      <c r="AQ6" s="2989"/>
      <c r="AR6" s="2989"/>
      <c r="AS6" s="2989"/>
      <c r="AT6" s="2990"/>
      <c r="AU6" s="2077"/>
      <c r="AW6" s="1192"/>
      <c r="AX6" s="1192" t="str">
        <f>IF(T6="","",T6)</f>
        <v/>
      </c>
      <c r="AY6" s="1192"/>
      <c r="AZ6" s="1192"/>
      <c r="BA6" s="1203">
        <v>0</v>
      </c>
    </row>
    <row s="61695" customFormat="1" customHeight="1" ht="0.75" hidden="1">
      <c r="A7" s="2035"/>
      <c r="B7" s="2035"/>
      <c r="C7" s="2035"/>
      <c r="D7" s="2035"/>
      <c r="E7" s="2951"/>
      <c r="F7" s="2951"/>
      <c r="G7" s="2951"/>
      <c r="H7" s="2951"/>
      <c r="I7" s="2978"/>
      <c r="J7" s="2948">
        <f>S5&amp;".1"</f>
      </c>
      <c r="K7" s="2035"/>
      <c r="L7" s="2038"/>
      <c r="M7" s="1202"/>
      <c r="N7" s="1202"/>
      <c r="O7" s="1202"/>
      <c r="P7" s="2949"/>
      <c r="Q7" s="2949">
        <v>1</v>
      </c>
      <c r="R7" s="1049"/>
      <c r="S7" s="1734"/>
      <c r="T7" s="2091"/>
      <c r="U7" s="2076"/>
      <c r="V7" s="2989"/>
      <c r="W7" s="2989"/>
      <c r="X7" s="2989"/>
      <c r="Y7" s="2989"/>
      <c r="Z7" s="2989"/>
      <c r="AA7" s="2990"/>
      <c r="AB7" s="2988"/>
      <c r="AC7" s="2989"/>
      <c r="AD7" s="2989"/>
      <c r="AE7" s="2989"/>
      <c r="AF7" s="2989"/>
      <c r="AG7" s="2989"/>
      <c r="AH7" s="2989"/>
      <c r="AI7" s="2989"/>
      <c r="AJ7" s="2989"/>
      <c r="AK7" s="2989"/>
      <c r="AL7" s="2989"/>
      <c r="AM7" s="2989"/>
      <c r="AN7" s="2989"/>
      <c r="AO7" s="2989"/>
      <c r="AP7" s="2989"/>
      <c r="AQ7" s="2989"/>
      <c r="AR7" s="2989"/>
      <c r="AS7" s="2989"/>
      <c r="AT7" s="2990"/>
      <c r="AU7" s="2077"/>
      <c r="AW7" s="1192"/>
      <c r="AX7" s="1192" t="str">
        <f>IF(T7="","",T7)</f>
        <v/>
      </c>
      <c r="AY7" s="1192"/>
      <c r="AZ7" s="1192"/>
      <c r="BA7" s="1203">
        <v>0</v>
      </c>
    </row>
    <row customHeight="1" ht="21" hidden="1">
      <c r="A8" s="2055"/>
      <c r="B8" s="2055"/>
      <c r="C8" s="2055"/>
      <c r="D8" s="2055"/>
      <c r="E8" s="2951"/>
      <c r="F8" s="2951"/>
      <c r="G8" s="2951"/>
      <c r="H8" s="2951"/>
      <c r="I8" s="2978"/>
      <c r="J8" s="2978"/>
      <c r="K8" s="2948">
        <f>S5&amp;".1"</f>
      </c>
      <c r="L8" s="2056"/>
      <c r="P8" s="2949"/>
      <c r="Q8" s="2949"/>
      <c r="R8" s="3039">
        <v>1</v>
      </c>
      <c r="S8" s="3033">
        <f>$K8</f>
      </c>
      <c r="T8" s="3036"/>
      <c r="U8" s="992"/>
      <c r="V8" s="1443"/>
      <c r="W8" s="1949"/>
      <c r="X8" s="2957"/>
      <c r="Y8" s="2799" t="s">
        <v>67</v>
      </c>
      <c r="Z8" s="2957"/>
      <c r="AA8" s="2799" t="s">
        <v>67</v>
      </c>
      <c r="AB8" s="2799" t="s">
        <v>19</v>
      </c>
      <c r="AC8" s="3018"/>
      <c r="AD8" s="2897">
        <v>1</v>
      </c>
      <c r="AE8" s="3019"/>
      <c r="AF8" s="2799" t="s">
        <v>19</v>
      </c>
      <c r="AG8" s="3018"/>
      <c r="AH8" s="2897">
        <v>1</v>
      </c>
      <c r="AI8" s="3019"/>
      <c r="AJ8" s="2799" t="s">
        <v>19</v>
      </c>
      <c r="AK8" s="1003"/>
      <c r="AL8" s="2029">
        <v>1</v>
      </c>
      <c r="AM8" s="2090"/>
      <c r="AN8" s="1443"/>
      <c r="AO8" s="1949"/>
      <c r="AP8" s="2426"/>
      <c r="AQ8" s="2151" t="s">
        <v>67</v>
      </c>
      <c r="AR8" s="2426"/>
      <c r="AS8" s="2151" t="s">
        <v>67</v>
      </c>
      <c r="AT8" s="2040"/>
      <c r="AU8" s="2945" t="s">
        <v>538</v>
      </c>
      <c r="AV8" s="1203">
        <f>STRCHECKDATE(V11:AT11)</f>
      </c>
      <c r="AW8" s="1192"/>
      <c r="AX8" s="1192" t="str">
        <f>IF(T8="","",T8)</f>
        <v/>
      </c>
      <c r="AY8" s="1192"/>
      <c r="AZ8" s="1192"/>
      <c r="BA8" s="1847">
        <v>0</v>
      </c>
    </row>
    <row customHeight="1" ht="11.25" hidden="1">
      <c r="A9" s="2055"/>
      <c r="B9" s="2055"/>
      <c r="C9" s="2055"/>
      <c r="D9" s="2055"/>
      <c r="E9" s="2951"/>
      <c r="F9" s="2951"/>
      <c r="G9" s="2951"/>
      <c r="H9" s="2951"/>
      <c r="I9" s="2978"/>
      <c r="J9" s="2978"/>
      <c r="K9" s="2948"/>
      <c r="L9" s="2056"/>
      <c r="P9" s="2949"/>
      <c r="Q9" s="2949"/>
      <c r="R9" s="3039"/>
      <c r="S9" s="3034"/>
      <c r="T9" s="3037"/>
      <c r="U9" s="992"/>
      <c r="V9" s="2085"/>
      <c r="W9" s="2089"/>
      <c r="X9" s="2957"/>
      <c r="Y9" s="2799"/>
      <c r="Z9" s="2957"/>
      <c r="AA9" s="2799"/>
      <c r="AB9" s="2799"/>
      <c r="AC9" s="3018"/>
      <c r="AD9" s="2897"/>
      <c r="AE9" s="3019"/>
      <c r="AF9" s="2799"/>
      <c r="AG9" s="3018"/>
      <c r="AH9" s="2897"/>
      <c r="AI9" s="3019"/>
      <c r="AJ9" s="2799"/>
      <c r="AK9" s="1008"/>
      <c r="AL9" s="1108"/>
      <c r="AM9" s="1107" t="s">
        <v>539</v>
      </c>
      <c r="AN9" s="2085"/>
      <c r="AO9" s="2188"/>
      <c r="AP9" s="2085"/>
      <c r="AQ9" s="2085"/>
      <c r="AR9" s="2085"/>
      <c r="AS9" s="2085"/>
      <c r="AT9" s="2082"/>
      <c r="AU9" s="2946"/>
      <c r="AW9" s="1192"/>
      <c r="AX9" s="1192"/>
      <c r="AY9" s="1192"/>
      <c r="AZ9" s="1192"/>
      <c r="BA9" s="1847">
        <v>0</v>
      </c>
    </row>
    <row customHeight="1" ht="11.25" hidden="1">
      <c r="A10" s="2055"/>
      <c r="B10" s="2055"/>
      <c r="C10" s="2055"/>
      <c r="D10" s="2055"/>
      <c r="E10" s="2951"/>
      <c r="F10" s="2951"/>
      <c r="G10" s="2951"/>
      <c r="H10" s="2951"/>
      <c r="I10" s="2978"/>
      <c r="J10" s="2978"/>
      <c r="K10" s="2948"/>
      <c r="L10" s="2056"/>
      <c r="P10" s="2949"/>
      <c r="Q10" s="2949"/>
      <c r="R10" s="3039"/>
      <c r="S10" s="3034"/>
      <c r="T10" s="3037"/>
      <c r="U10" s="992"/>
      <c r="V10" s="2085"/>
      <c r="W10" s="2089"/>
      <c r="X10" s="2957"/>
      <c r="Y10" s="2799"/>
      <c r="Z10" s="2957"/>
      <c r="AA10" s="2799"/>
      <c r="AB10" s="2799"/>
      <c r="AC10" s="3018"/>
      <c r="AD10" s="2897"/>
      <c r="AE10" s="3019"/>
      <c r="AF10" s="2799"/>
      <c r="AG10" s="986"/>
      <c r="AH10" s="1107"/>
      <c r="AI10" s="1107" t="s">
        <v>540</v>
      </c>
      <c r="AJ10" s="2085"/>
      <c r="AK10" s="2085"/>
      <c r="AL10" s="2085"/>
      <c r="AM10" s="2085"/>
      <c r="AN10" s="2085"/>
      <c r="AO10" s="2188"/>
      <c r="AP10" s="2085"/>
      <c r="AQ10" s="2085"/>
      <c r="AR10" s="2085"/>
      <c r="AS10" s="2085"/>
      <c r="AT10" s="2082"/>
      <c r="AU10" s="2946"/>
      <c r="AW10" s="1192"/>
      <c r="AX10" s="1192"/>
      <c r="AY10" s="1192"/>
      <c r="AZ10" s="1192"/>
      <c r="BA10" s="1847">
        <v>0</v>
      </c>
    </row>
    <row customHeight="1" ht="11.25" hidden="1">
      <c r="A11" s="2055"/>
      <c r="B11" s="2055"/>
      <c r="C11" s="2055"/>
      <c r="D11" s="2055"/>
      <c r="E11" s="2951"/>
      <c r="F11" s="2951"/>
      <c r="G11" s="2951"/>
      <c r="H11" s="2951"/>
      <c r="I11" s="2978"/>
      <c r="J11" s="2978"/>
      <c r="K11" s="2948"/>
      <c r="L11" s="2056"/>
      <c r="P11" s="2949"/>
      <c r="Q11" s="2949"/>
      <c r="R11" s="3039"/>
      <c r="S11" s="3035"/>
      <c r="T11" s="3038"/>
      <c r="U11" s="992"/>
      <c r="V11" s="2085"/>
      <c r="W11" s="2088" t="str">
        <f>X8&amp;"-"&amp;Z8</f>
        <v>-</v>
      </c>
      <c r="X11" s="2958"/>
      <c r="Y11" s="2799"/>
      <c r="Z11" s="2958"/>
      <c r="AA11" s="2799"/>
      <c r="AB11" s="2799"/>
      <c r="AC11" s="1004"/>
      <c r="AD11" s="1006"/>
      <c r="AE11" s="1107" t="s">
        <v>541</v>
      </c>
      <c r="AF11" s="2085"/>
      <c r="AG11" s="2085"/>
      <c r="AH11" s="2085"/>
      <c r="AI11" s="2085"/>
      <c r="AJ11" s="2085"/>
      <c r="AK11" s="2085"/>
      <c r="AL11" s="2085"/>
      <c r="AM11" s="2085"/>
      <c r="AN11" s="2085"/>
      <c r="AO11" s="2086" t="str">
        <f>AP8&amp;"-"&amp;AR8</f>
        <v>-</v>
      </c>
      <c r="AP11" s="2085"/>
      <c r="AQ11" s="2085"/>
      <c r="AR11" s="2085"/>
      <c r="AS11" s="2085"/>
      <c r="AT11" s="2041"/>
      <c r="AU11" s="2946"/>
      <c r="AW11" s="1192"/>
      <c r="AX11" s="1192" t="str">
        <f>IF(T11="","",T11)</f>
        <v/>
      </c>
      <c r="AY11" s="1192"/>
      <c r="AZ11" s="1192"/>
      <c r="BA11" s="1847">
        <v>0</v>
      </c>
    </row>
    <row customHeight="1" ht="11.25" hidden="1">
      <c r="A12" s="2055"/>
      <c r="B12" s="2055"/>
      <c r="C12" s="2055"/>
      <c r="D12" s="2055"/>
      <c r="E12" s="2951"/>
      <c r="F12" s="2951"/>
      <c r="G12" s="2951"/>
      <c r="H12" s="2951"/>
      <c r="I12" s="2978"/>
      <c r="J12" s="2948"/>
      <c r="K12" s="2055"/>
      <c r="L12" s="2056"/>
      <c r="P12" s="2949"/>
      <c r="Q12" s="2949"/>
      <c r="R12" s="1048"/>
      <c r="S12" s="1970"/>
      <c r="T12" s="979" t="s">
        <v>542</v>
      </c>
      <c r="U12" s="1059"/>
      <c r="V12" s="1059"/>
      <c r="W12" s="1059"/>
      <c r="X12" s="1059"/>
      <c r="Y12" s="1059"/>
      <c r="Z12" s="1059"/>
      <c r="AA12" s="1059"/>
      <c r="AB12" s="1059"/>
      <c r="AC12" s="1059"/>
      <c r="AD12" s="1059"/>
      <c r="AE12" s="1059"/>
      <c r="AF12" s="1059"/>
      <c r="AG12" s="1059"/>
      <c r="AH12" s="1059"/>
      <c r="AI12" s="1059"/>
      <c r="AJ12" s="1059"/>
      <c r="AK12" s="1059"/>
      <c r="AL12" s="1059"/>
      <c r="AM12" s="1059"/>
      <c r="AN12" s="1059"/>
      <c r="AO12" s="1059"/>
      <c r="AP12" s="1059"/>
      <c r="AQ12" s="1059"/>
      <c r="AR12" s="1059"/>
      <c r="AS12" s="1059"/>
      <c r="AT12" s="1016"/>
      <c r="AU12" s="2947"/>
      <c r="AW12" s="1192"/>
      <c r="AX12" s="1192" t="str">
        <f>IF(T12="","",T12)</f>
        <v>Добавить строку</v>
      </c>
      <c r="AY12" s="1192"/>
      <c r="AZ12" s="1192"/>
      <c r="BA12" s="1847">
        <v>0</v>
      </c>
    </row>
    <row s="61695" customFormat="1" customHeight="1" ht="0.75" hidden="1">
      <c r="A13" s="2035"/>
      <c r="B13" s="2035"/>
      <c r="C13" s="2035"/>
      <c r="D13" s="2035"/>
      <c r="E13" s="2951"/>
      <c r="F13" s="2951"/>
      <c r="G13" s="2951"/>
      <c r="H13" s="2951"/>
      <c r="I13" s="2948"/>
      <c r="J13" s="2035"/>
      <c r="K13" s="2035"/>
      <c r="L13" s="2038"/>
      <c r="M13" s="1202"/>
      <c r="N13" s="1202"/>
      <c r="O13" s="1202"/>
      <c r="P13" s="2949"/>
      <c r="Q13" s="2023"/>
      <c r="R13" s="1048"/>
      <c r="S13" s="2078"/>
      <c r="T13" s="2079"/>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c r="AP13" s="2080"/>
      <c r="AQ13" s="2080"/>
      <c r="AR13" s="2080"/>
      <c r="AS13" s="2080"/>
      <c r="AT13" s="2080"/>
      <c r="AU13" s="2081"/>
      <c r="AW13" s="1192"/>
      <c r="AX13" s="1192" t="str">
        <f>IF(T13="","",T13)</f>
        <v/>
      </c>
      <c r="AY13" s="1192"/>
      <c r="AZ13" s="1192"/>
      <c r="BA13" s="1203">
        <v>0</v>
      </c>
    </row>
    <row s="61695" customFormat="1" customHeight="1" ht="0.75" hidden="1">
      <c r="A14" s="2035"/>
      <c r="B14" s="2035"/>
      <c r="C14" s="2035"/>
      <c r="D14" s="2035"/>
      <c r="E14" s="2951"/>
      <c r="F14" s="2951"/>
      <c r="G14" s="2951"/>
      <c r="H14" s="2950"/>
      <c r="I14" s="2035"/>
      <c r="J14" s="2035"/>
      <c r="K14" s="2035"/>
      <c r="L14" s="2038"/>
      <c r="M14" s="2007"/>
      <c r="N14" s="2007"/>
      <c r="O14" s="1210"/>
      <c r="P14" s="1072"/>
      <c r="Q14" s="2036"/>
      <c r="R14" s="2093"/>
      <c r="S14" s="2078"/>
      <c r="T14" s="2079"/>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c r="AP14" s="2080"/>
      <c r="AQ14" s="2080"/>
      <c r="AR14" s="2080"/>
      <c r="AS14" s="2080"/>
      <c r="AT14" s="2080"/>
      <c r="AU14" s="2081"/>
      <c r="AW14" s="1192"/>
      <c r="AX14" s="1192" t="str">
        <f>IF(T14="","",T14)</f>
        <v/>
      </c>
      <c r="AY14" s="1192"/>
      <c r="AZ14" s="1192"/>
      <c r="BA14" s="1203">
        <v>0</v>
      </c>
    </row>
    <row s="61695" customFormat="1" customHeight="1" ht="0.75" hidden="1">
      <c r="A15" s="2035"/>
      <c r="B15" s="2035"/>
      <c r="C15" s="2035"/>
      <c r="D15" s="2006"/>
      <c r="E15" s="2951"/>
      <c r="F15" s="2951"/>
      <c r="G15" s="2950"/>
      <c r="H15" s="2006"/>
      <c r="I15" s="2006"/>
      <c r="J15" s="2006"/>
      <c r="K15" s="2006"/>
      <c r="L15" s="2031"/>
      <c r="M15" s="2007"/>
      <c r="N15" s="2007"/>
      <c r="P15" s="2008"/>
      <c r="Q15" s="2009"/>
      <c r="R15" s="2008"/>
      <c r="S15" s="2014"/>
      <c r="T15" s="2017" t="s">
        <v>171</v>
      </c>
      <c r="U15" s="2016"/>
      <c r="V15" s="2016"/>
      <c r="W15" s="2016"/>
      <c r="X15" s="2016"/>
      <c r="Y15" s="2016"/>
      <c r="Z15" s="2016"/>
      <c r="AA15" s="2016"/>
      <c r="AB15" s="2016"/>
      <c r="AC15" s="2016"/>
      <c r="AD15" s="2016"/>
      <c r="AE15" s="2016"/>
      <c r="AF15" s="2016"/>
      <c r="AG15" s="2016"/>
      <c r="AH15" s="2016"/>
      <c r="AI15" s="2016"/>
      <c r="AJ15" s="2016"/>
      <c r="AK15" s="2016"/>
      <c r="AL15" s="2016"/>
      <c r="AM15" s="2016"/>
      <c r="AN15" s="2016"/>
      <c r="AO15" s="2016"/>
      <c r="AP15" s="2016"/>
      <c r="AQ15" s="2016"/>
      <c r="AR15" s="2016"/>
      <c r="AS15" s="2016"/>
      <c r="AT15" s="2016"/>
      <c r="AU15" s="2016"/>
      <c r="AW15" s="1481"/>
      <c r="AX15" s="1481" t="str">
        <f>IF(T15="","",T15)</f>
        <v>Добавить источник для дифференциации</v>
      </c>
      <c r="AY15" s="1481"/>
      <c r="AZ15" s="1481"/>
      <c r="BA15" s="1210">
        <v>0</v>
      </c>
    </row>
    <row s="61695" customFormat="1" customHeight="1" ht="0.75" hidden="1">
      <c r="A16" s="2035"/>
      <c r="B16" s="2035"/>
      <c r="C16" s="2006"/>
      <c r="D16" s="2006"/>
      <c r="E16" s="2951"/>
      <c r="F16" s="2950"/>
      <c r="G16" s="2006"/>
      <c r="H16" s="2006"/>
      <c r="I16" s="2006"/>
      <c r="J16" s="2006"/>
      <c r="K16" s="2006"/>
      <c r="L16" s="2031"/>
      <c r="M16" s="2013"/>
      <c r="N16" s="2013"/>
      <c r="P16" s="2008"/>
      <c r="Q16" s="2009"/>
      <c r="R16" s="2008"/>
      <c r="S16" s="2014"/>
      <c r="T16" s="2017" t="s">
        <v>172</v>
      </c>
      <c r="U16" s="2016"/>
      <c r="V16" s="2016"/>
      <c r="W16" s="2016"/>
      <c r="X16" s="2016"/>
      <c r="Y16" s="2016"/>
      <c r="Z16" s="2016"/>
      <c r="AA16" s="2016"/>
      <c r="AB16" s="2016"/>
      <c r="AC16" s="2016"/>
      <c r="AD16" s="2016"/>
      <c r="AE16" s="2016"/>
      <c r="AF16" s="2016"/>
      <c r="AG16" s="2016"/>
      <c r="AH16" s="2016"/>
      <c r="AI16" s="2016"/>
      <c r="AJ16" s="2016"/>
      <c r="AK16" s="2016"/>
      <c r="AL16" s="2016"/>
      <c r="AM16" s="2016"/>
      <c r="AN16" s="2016"/>
      <c r="AO16" s="2016"/>
      <c r="AP16" s="2016"/>
      <c r="AQ16" s="2016"/>
      <c r="AR16" s="2016"/>
      <c r="AS16" s="2016"/>
      <c r="AT16" s="2016"/>
      <c r="AU16" s="2016"/>
      <c r="AW16" s="1481"/>
      <c r="AX16" s="1481" t="str">
        <f>IF(T16="","",T16)</f>
        <v>Добавить централизованную систему для дифференциации</v>
      </c>
      <c r="AY16" s="1481"/>
      <c r="AZ16" s="1481"/>
      <c r="BA16" s="1210">
        <v>0</v>
      </c>
    </row>
    <row s="61695" customFormat="1" customHeight="1" ht="0.75" hidden="1">
      <c r="A17" s="2035"/>
      <c r="B17" s="2035"/>
      <c r="C17" s="2035"/>
      <c r="D17" s="2035"/>
      <c r="E17" s="2950"/>
      <c r="F17" s="2035"/>
      <c r="G17" s="2035"/>
      <c r="H17" s="2035"/>
      <c r="I17" s="2035"/>
      <c r="J17" s="2035"/>
      <c r="K17" s="2035"/>
      <c r="L17" s="2038"/>
      <c r="M17" s="2013"/>
      <c r="N17" s="2013"/>
      <c r="O17" s="1210"/>
      <c r="P17" s="1072"/>
      <c r="Q17" s="2036"/>
      <c r="R17" s="1072"/>
      <c r="S17" s="2014"/>
      <c r="T17" s="2017" t="s">
        <v>173</v>
      </c>
      <c r="U17" s="2016"/>
      <c r="V17" s="2016"/>
      <c r="W17" s="2016"/>
      <c r="X17" s="2016"/>
      <c r="Y17" s="2016"/>
      <c r="Z17" s="2016"/>
      <c r="AA17" s="2016"/>
      <c r="AB17" s="2016"/>
      <c r="AC17" s="2016"/>
      <c r="AD17" s="2016"/>
      <c r="AE17" s="2016"/>
      <c r="AF17" s="2016"/>
      <c r="AG17" s="2016"/>
      <c r="AH17" s="2016"/>
      <c r="AI17" s="2016"/>
      <c r="AJ17" s="2016"/>
      <c r="AK17" s="2016"/>
      <c r="AL17" s="2016"/>
      <c r="AM17" s="2016"/>
      <c r="AN17" s="2016"/>
      <c r="AO17" s="2016"/>
      <c r="AP17" s="2016"/>
      <c r="AQ17" s="2016"/>
      <c r="AR17" s="2016"/>
      <c r="AS17" s="2016"/>
      <c r="AT17" s="2016"/>
      <c r="AU17" s="2016"/>
      <c r="AW17" s="1192"/>
      <c r="AX17" s="1192" t="str">
        <f>IF(T17="","",T17)</f>
        <v>Добавить территорию для дифференциации</v>
      </c>
      <c r="AY17" s="1192"/>
      <c r="AZ17" s="1192"/>
      <c r="BA17" s="1203">
        <v>0</v>
      </c>
    </row>
    <row customHeight="1" ht="14.25" hidden="1">
      <c r="AA18" s="1019"/>
      <c r="AS18" s="1019"/>
      <c r="BA18" s="1847">
        <v>0</v>
      </c>
    </row>
    <row customHeight="1" ht="14.25" hidden="1">
      <c r="AB19" s="2016" t="s">
        <v>19</v>
      </c>
      <c r="AC19" s="2193"/>
      <c r="AD19" s="1240">
        <v>1</v>
      </c>
      <c r="AE19" s="2194"/>
      <c r="AF19" s="2016" t="s">
        <v>19</v>
      </c>
      <c r="AG19" s="2193"/>
      <c r="AH19" s="1240">
        <v>1</v>
      </c>
      <c r="AI19" s="2194"/>
      <c r="AJ19" s="2016" t="s">
        <v>19</v>
      </c>
      <c r="AK19" s="2195"/>
      <c r="AL19" s="1240">
        <v>1</v>
      </c>
      <c r="AM19" s="2198"/>
      <c r="AN19" s="2095"/>
      <c r="AO19" s="2096"/>
      <c r="AP19" s="2428"/>
      <c r="AQ19" s="2152" t="s">
        <v>67</v>
      </c>
      <c r="AR19" s="2428"/>
      <c r="AS19" s="2152" t="s">
        <v>67</v>
      </c>
      <c r="BA19" s="1847">
        <v>0</v>
      </c>
    </row>
    <row customHeight="1" ht="14.25" hidden="1">
      <c r="AV20" s="1188"/>
      <c r="AW20" s="1188"/>
      <c r="AX20" s="1188"/>
      <c r="AY20" s="1188"/>
      <c r="AZ20" s="1188"/>
      <c r="BA20" s="1847">
        <v>0</v>
      </c>
    </row>
    <row customHeight="1" ht="14.25" hidden="1">
      <c r="O21" s="2059" t="s">
        <v>489</v>
      </c>
      <c r="X21" s="2037"/>
      <c r="Z21" s="2037"/>
      <c r="AA21" s="1019"/>
      <c r="AP21" s="2037"/>
      <c r="AR21" s="2037"/>
      <c r="AS21" s="1019"/>
      <c r="AV21" s="1188"/>
      <c r="AW21" s="1188"/>
      <c r="AX21" s="1188"/>
      <c r="AY21" s="1188"/>
      <c r="AZ21" s="1188"/>
      <c r="BA21" s="1847">
        <v>0</v>
      </c>
    </row>
    <row customHeight="1" ht="14.25" hidden="1">
      <c r="AA22" s="1019"/>
      <c r="AS22" s="1019"/>
      <c r="AV22" s="1188"/>
      <c r="AW22" s="1188"/>
      <c r="AX22" s="1188"/>
      <c r="AY22" s="1188"/>
      <c r="AZ22" s="1188"/>
      <c r="BA22" s="1847">
        <v>0</v>
      </c>
    </row>
    <row s="61412" customFormat="1" customHeight="1" ht="14.25" hidden="1">
      <c r="M23" s="2200"/>
      <c r="N23" s="2200"/>
      <c r="O23" s="2201" t="s">
        <v>490</v>
      </c>
      <c r="P23" s="2200"/>
      <c r="Q23" s="2202"/>
      <c r="R23" s="2202"/>
      <c r="Y23" s="2199" t="s">
        <v>492</v>
      </c>
      <c r="AA23" s="2199" t="s">
        <v>493</v>
      </c>
      <c r="AB23" s="2199" t="s">
        <v>543</v>
      </c>
      <c r="AE23" s="2199" t="s">
        <v>544</v>
      </c>
      <c r="AF23" s="2199" t="s">
        <v>543</v>
      </c>
      <c r="AI23" s="2199" t="s">
        <v>545</v>
      </c>
      <c r="AJ23" s="2199" t="s">
        <v>543</v>
      </c>
      <c r="AM23" s="2199" t="s">
        <v>546</v>
      </c>
      <c r="AQ23" s="2199" t="s">
        <v>492</v>
      </c>
      <c r="AS23" s="2199" t="s">
        <v>493</v>
      </c>
      <c r="AV23" s="2203"/>
      <c r="AW23" s="2203"/>
      <c r="AX23" s="2203"/>
      <c r="AY23" s="2203"/>
      <c r="AZ23" s="2203"/>
      <c r="BA23" s="2199">
        <v>0</v>
      </c>
    </row>
    <row customHeight="1" ht="14.25" hidden="1">
      <c r="O24" s="2056"/>
      <c r="AV24" s="1188"/>
      <c r="AW24" s="1188"/>
      <c r="AX24" s="1188"/>
      <c r="AY24" s="1188"/>
      <c r="AZ24" s="1188"/>
      <c r="BA24" s="1847">
        <v>0</v>
      </c>
    </row>
    <row customHeight="1" ht="14.25" hidden="1">
      <c r="O25" s="2056"/>
      <c r="AV25" s="1188"/>
      <c r="AW25" s="1188"/>
      <c r="AX25" s="1188"/>
      <c r="AY25" s="1188"/>
      <c r="AZ25" s="1188"/>
      <c r="BA25" s="1847">
        <v>0</v>
      </c>
    </row>
    <row customHeight="1" ht="14.699999999999998">
      <c r="Q26" s="983"/>
      <c r="R26" s="1068"/>
      <c r="S26" s="1967"/>
      <c r="T26" s="1055"/>
      <c r="U26" s="1055"/>
      <c r="V26" s="1201"/>
      <c r="W26" s="1201"/>
      <c r="X26" s="1201"/>
      <c r="Y26" s="1201"/>
      <c r="Z26" s="1201"/>
      <c r="AA26" s="1201"/>
      <c r="AB26" s="1201"/>
      <c r="AC26" s="1201"/>
      <c r="AD26" s="1201"/>
      <c r="AE26" s="1201"/>
      <c r="AF26" s="1201"/>
      <c r="AG26" s="1201"/>
      <c r="AH26" s="1201"/>
      <c r="AI26" s="1201"/>
      <c r="AJ26" s="1201"/>
      <c r="AK26" s="1201"/>
      <c r="AL26" s="1201"/>
      <c r="AM26" s="1201"/>
      <c r="AN26" s="1201"/>
      <c r="AO26" s="1201"/>
      <c r="AP26" s="1201"/>
      <c r="AQ26" s="1201"/>
      <c r="AR26" s="1201"/>
      <c r="AS26" s="1201"/>
      <c r="BA26" s="1847">
        <v>14</v>
      </c>
    </row>
    <row customHeight="1" ht="27.299999999999997">
      <c r="Q27" s="983"/>
      <c r="R27" s="1068"/>
      <c r="S27" s="294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40"/>
      <c r="U27" s="2940"/>
      <c r="V27" s="2940"/>
      <c r="W27" s="2940"/>
      <c r="X27" s="2940"/>
      <c r="Y27" s="2940"/>
      <c r="Z27" s="2940"/>
      <c r="AA27" s="2940"/>
      <c r="AB27" s="2940"/>
      <c r="AC27" s="2940"/>
      <c r="AD27" s="2940"/>
      <c r="AE27" s="2940"/>
      <c r="AF27" s="2940"/>
      <c r="AG27" s="2940"/>
      <c r="AH27" s="2940"/>
      <c r="AI27" s="2940"/>
      <c r="AJ27" s="2940"/>
      <c r="AK27" s="2940"/>
      <c r="AL27" s="2940"/>
      <c r="AM27" s="2940"/>
      <c r="AN27" s="2940"/>
      <c r="AO27" s="2940"/>
      <c r="AP27" s="2940"/>
      <c r="AQ27" s="2940"/>
      <c r="AR27" s="2940"/>
      <c r="AS27" s="1935"/>
      <c r="BA27" s="1847">
        <v>26</v>
      </c>
    </row>
    <row customHeight="1" ht="14.699999999999998">
      <c r="Q28" s="983"/>
      <c r="R28" s="1068"/>
      <c r="S28" s="2941" t="str">
        <f>IF(org=0,"Не определено",org)</f>
        <v>АО "ДГК"</v>
      </c>
      <c r="T28" s="2941"/>
      <c r="U28" s="2941"/>
      <c r="V28" s="2941"/>
      <c r="W28" s="2941"/>
      <c r="X28" s="2941"/>
      <c r="Y28" s="2941"/>
      <c r="Z28" s="2941"/>
      <c r="AA28" s="2941"/>
      <c r="AB28" s="2941"/>
      <c r="AC28" s="2941"/>
      <c r="AD28" s="2941"/>
      <c r="AE28" s="2941"/>
      <c r="AF28" s="2941"/>
      <c r="AG28" s="2941"/>
      <c r="AH28" s="2941"/>
      <c r="AI28" s="2941"/>
      <c r="AJ28" s="2941"/>
      <c r="AK28" s="2941"/>
      <c r="AL28" s="2941"/>
      <c r="AM28" s="2941"/>
      <c r="AN28" s="2941"/>
      <c r="AO28" s="2941"/>
      <c r="AP28" s="2941"/>
      <c r="AQ28" s="2941"/>
      <c r="AR28" s="2941"/>
      <c r="AS28" s="1935"/>
      <c r="BA28" s="1847">
        <v>14</v>
      </c>
    </row>
    <row customHeight="1" ht="14.25" hidden="1">
      <c r="Q29" s="983"/>
      <c r="R29" s="1068"/>
      <c r="S29" s="1967"/>
      <c r="T29" s="1055"/>
      <c r="U29" s="1055"/>
      <c r="V29" s="1014"/>
      <c r="W29" s="1014"/>
      <c r="X29" s="1014"/>
      <c r="Y29" s="1014"/>
      <c r="Z29" s="1014"/>
      <c r="AA29" s="1014"/>
      <c r="AB29" s="1014"/>
      <c r="AC29" s="1014"/>
      <c r="AD29" s="1014"/>
      <c r="AE29" s="1014"/>
      <c r="AF29" s="1014"/>
      <c r="AG29" s="1014"/>
      <c r="AH29" s="1014"/>
      <c r="AI29" s="1014"/>
      <c r="AJ29" s="1014"/>
      <c r="AK29" s="1014"/>
      <c r="AL29" s="1014"/>
      <c r="AM29" s="1014"/>
      <c r="AN29" s="1014"/>
      <c r="AO29" s="1014"/>
      <c r="AP29" s="1014"/>
      <c r="AQ29" s="1014"/>
      <c r="AR29" s="1014"/>
      <c r="AS29" s="1014"/>
      <c r="AT29" s="1201"/>
      <c r="BA29" s="1847">
        <v>0</v>
      </c>
    </row>
    <row s="63055" customFormat="1" customHeight="1" ht="25.5" hidden="1">
      <c r="A30" s="2060"/>
      <c r="B30" s="2060"/>
      <c r="C30" s="2060"/>
      <c r="D30" s="2060"/>
      <c r="E30" s="2060"/>
      <c r="F30" s="2060"/>
      <c r="G30" s="2060"/>
      <c r="H30" s="2060"/>
      <c r="I30" s="2060"/>
      <c r="J30" s="2060"/>
      <c r="K30" s="2060"/>
      <c r="L30" s="2061"/>
      <c r="M30" s="2060"/>
      <c r="N30" s="2060"/>
      <c r="O30" s="2060"/>
      <c r="P30" s="2060"/>
      <c r="Q30" s="2060"/>
      <c r="S30" s="2942" t="s">
        <v>42</v>
      </c>
      <c r="T30" s="2942"/>
      <c r="U30" s="2064"/>
      <c r="V30" s="2943" t="str">
        <f>IF(TITLE_NAME_OR_PR_CHANGE="",IF(TITLE_NAME_OR_PR="","",TITLE_NAME_OR_PR),TITLE_NAME_OR_PR_CHANGE)</f>
        <v/>
      </c>
      <c r="W30" s="2943"/>
      <c r="X30" s="2943"/>
      <c r="Y30" s="2943"/>
      <c r="Z30" s="2943"/>
      <c r="AA30" s="1018"/>
      <c r="AB30" s="2943" t="str">
        <f>IF(TITLE_NAME_OR_PR_CHANGE="",IF(TITLE_NAME_OR_PR="","",TITLE_NAME_OR_PR),TITLE_NAME_OR_PR_CHANGE)</f>
        <v/>
      </c>
      <c r="AC30" s="2943"/>
      <c r="AD30" s="2943"/>
      <c r="AE30" s="2943"/>
      <c r="AF30" s="2943"/>
      <c r="AG30" s="2943"/>
      <c r="AH30" s="2943"/>
      <c r="AI30" s="2943"/>
      <c r="AJ30" s="2943"/>
      <c r="AK30" s="2943"/>
      <c r="AL30" s="2943"/>
      <c r="AM30" s="2943"/>
      <c r="AN30" s="2943"/>
      <c r="AO30" s="2943"/>
      <c r="AP30" s="2943"/>
      <c r="AQ30" s="2943"/>
      <c r="AR30" s="2943"/>
      <c r="AS30" s="1018"/>
      <c r="AT30" s="1018"/>
      <c r="AU30" s="972"/>
      <c r="AV30" s="1060"/>
      <c r="AW30" s="1060"/>
      <c r="AX30" s="1060"/>
      <c r="AY30" s="1060"/>
      <c r="AZ30" s="1060"/>
      <c r="BA30" s="1110">
        <v>0</v>
      </c>
    </row>
    <row s="63055" customFormat="1" customHeight="1" ht="18.75" hidden="1">
      <c r="A31" s="2060"/>
      <c r="B31" s="2060"/>
      <c r="C31" s="2060"/>
      <c r="D31" s="2060"/>
      <c r="E31" s="2060"/>
      <c r="F31" s="2060"/>
      <c r="G31" s="2060"/>
      <c r="H31" s="2060"/>
      <c r="I31" s="2060"/>
      <c r="J31" s="2060"/>
      <c r="K31" s="2060"/>
      <c r="L31" s="2061"/>
      <c r="M31" s="2060"/>
      <c r="N31" s="2060"/>
      <c r="O31" s="2060"/>
      <c r="P31" s="2060"/>
      <c r="Q31" s="2060"/>
      <c r="S31" s="2942" t="s">
        <v>495</v>
      </c>
      <c r="T31" s="2942"/>
      <c r="U31" s="2064"/>
      <c r="V31" s="2956" t="str">
        <f>IF(TITLE_DATE_PR_CHANGE="",IF(TITLE_DATE_PR="","",TITLE_DATE_PR),TITLE_DATE_PR_CHANGE)</f>
        <v>45981</v>
      </c>
      <c r="W31" s="2956"/>
      <c r="X31" s="2956"/>
      <c r="Y31" s="2956"/>
      <c r="Z31" s="2956"/>
      <c r="AA31" s="1018"/>
      <c r="AB31" s="2956" t="str">
        <f>IF(TITLE_DATE_PR_CHANGE="",IF(TITLE_DATE_PR="","",TITLE_DATE_PR),TITLE_DATE_PR_CHANGE)</f>
        <v>45981</v>
      </c>
      <c r="AC31" s="2956"/>
      <c r="AD31" s="2956"/>
      <c r="AE31" s="2956"/>
      <c r="AF31" s="2956"/>
      <c r="AG31" s="2956"/>
      <c r="AH31" s="2956"/>
      <c r="AI31" s="2956"/>
      <c r="AJ31" s="2956"/>
      <c r="AK31" s="2956"/>
      <c r="AL31" s="2956"/>
      <c r="AM31" s="2956"/>
      <c r="AN31" s="2956"/>
      <c r="AO31" s="2956"/>
      <c r="AP31" s="2956"/>
      <c r="AQ31" s="2956"/>
      <c r="AR31" s="2956"/>
      <c r="AS31" s="1018"/>
      <c r="AT31" s="1018"/>
      <c r="AU31" s="972"/>
      <c r="AV31" s="1060"/>
      <c r="AW31" s="1060"/>
      <c r="AX31" s="1060"/>
      <c r="AY31" s="1060"/>
      <c r="AZ31" s="1060"/>
      <c r="BA31" s="1110">
        <v>0</v>
      </c>
    </row>
    <row s="63055" customFormat="1" customHeight="1" ht="18.75" hidden="1">
      <c r="A32" s="2060"/>
      <c r="B32" s="2060"/>
      <c r="C32" s="2060"/>
      <c r="D32" s="2060"/>
      <c r="E32" s="2060"/>
      <c r="F32" s="2060"/>
      <c r="G32" s="2060"/>
      <c r="H32" s="2060"/>
      <c r="I32" s="2060"/>
      <c r="J32" s="2060"/>
      <c r="K32" s="2060"/>
      <c r="L32" s="2061"/>
      <c r="M32" s="2060"/>
      <c r="N32" s="2060"/>
      <c r="O32" s="2060"/>
      <c r="P32" s="2060"/>
      <c r="Q32" s="2060"/>
      <c r="S32" s="2942" t="s">
        <v>496</v>
      </c>
      <c r="T32" s="2942"/>
      <c r="U32" s="2064"/>
      <c r="V32" s="2943" t="str">
        <f>IF(TITLE_NUMBER_PR_CHANGE="",IF(TITLE_NUMBER_PR="","",TITLE_NUMBER_PR),TITLE_NUMBER_PR_CHANGE)</f>
        <v>Исх-260/1781</v>
      </c>
      <c r="W32" s="2943"/>
      <c r="X32" s="2943"/>
      <c r="Y32" s="2943"/>
      <c r="Z32" s="2943"/>
      <c r="AA32" s="1018"/>
      <c r="AB32" s="2943" t="str">
        <f>IF(TITLE_NUMBER_PR_CHANGE="",IF(TITLE_NUMBER_PR="","",TITLE_NUMBER_PR),TITLE_NUMBER_PR_CHANGE)</f>
        <v>Исх-260/1781</v>
      </c>
      <c r="AC32" s="2943"/>
      <c r="AD32" s="2943"/>
      <c r="AE32" s="2943"/>
      <c r="AF32" s="2943"/>
      <c r="AG32" s="2943"/>
      <c r="AH32" s="2943"/>
      <c r="AI32" s="2943"/>
      <c r="AJ32" s="2943"/>
      <c r="AK32" s="2943"/>
      <c r="AL32" s="2943"/>
      <c r="AM32" s="2943"/>
      <c r="AN32" s="2943"/>
      <c r="AO32" s="2943"/>
      <c r="AP32" s="2943"/>
      <c r="AQ32" s="2943"/>
      <c r="AR32" s="2943"/>
      <c r="AS32" s="1018"/>
      <c r="AT32" s="1018"/>
      <c r="AU32" s="972"/>
      <c r="AV32" s="1060"/>
      <c r="AW32" s="1060"/>
      <c r="AX32" s="1060"/>
      <c r="AY32" s="1060"/>
      <c r="AZ32" s="1060"/>
      <c r="BA32" s="1110">
        <v>0</v>
      </c>
    </row>
    <row s="63055" customFormat="1" customHeight="1" ht="18.75" hidden="1">
      <c r="A33" s="2060"/>
      <c r="B33" s="2060"/>
      <c r="C33" s="2060"/>
      <c r="D33" s="2060"/>
      <c r="E33" s="2060"/>
      <c r="F33" s="2060"/>
      <c r="G33" s="2060"/>
      <c r="H33" s="2060"/>
      <c r="I33" s="2060"/>
      <c r="J33" s="2060"/>
      <c r="K33" s="2060"/>
      <c r="L33" s="2061"/>
      <c r="M33" s="2060"/>
      <c r="N33" s="2060"/>
      <c r="O33" s="2060"/>
      <c r="P33" s="2060"/>
      <c r="Q33" s="2060"/>
      <c r="S33" s="2942" t="s">
        <v>43</v>
      </c>
      <c r="T33" s="2942"/>
      <c r="U33" s="2064"/>
      <c r="V33" s="2943" t="str">
        <f>IF(TITLE_IST_PUB_CHANGE="",IF(TITLE_IST_PUB="","",TITLE_IST_PUB),TITLE_IST_PUB_CHANGE)</f>
        <v/>
      </c>
      <c r="W33" s="2943"/>
      <c r="X33" s="2943"/>
      <c r="Y33" s="2943"/>
      <c r="Z33" s="2943"/>
      <c r="AA33" s="1018"/>
      <c r="AB33" s="2943" t="str">
        <f>IF(TITLE_IST_PUB_CHANGE="",IF(TITLE_IST_PUB="","",TITLE_IST_PUB),TITLE_IST_PUB_CHANGE)</f>
        <v/>
      </c>
      <c r="AC33" s="2943"/>
      <c r="AD33" s="2943"/>
      <c r="AE33" s="2943"/>
      <c r="AF33" s="2943"/>
      <c r="AG33" s="2943"/>
      <c r="AH33" s="2943"/>
      <c r="AI33" s="2943"/>
      <c r="AJ33" s="2943"/>
      <c r="AK33" s="2943"/>
      <c r="AL33" s="2943"/>
      <c r="AM33" s="2943"/>
      <c r="AN33" s="2943"/>
      <c r="AO33" s="2943"/>
      <c r="AP33" s="2943"/>
      <c r="AQ33" s="2943"/>
      <c r="AR33" s="2943"/>
      <c r="AS33" s="1018"/>
      <c r="AT33" s="1018"/>
      <c r="AU33" s="972"/>
      <c r="AV33" s="1060"/>
      <c r="AW33" s="1060"/>
      <c r="AX33" s="1060"/>
      <c r="AY33" s="1060"/>
      <c r="AZ33" s="1060"/>
      <c r="BA33" s="1110">
        <v>0</v>
      </c>
    </row>
    <row customHeight="1" ht="14.25">
      <c r="Q34" s="983"/>
      <c r="R34" s="1068"/>
      <c r="S34" s="1967"/>
      <c r="T34" s="1055"/>
      <c r="U34" s="1055"/>
      <c r="V34" s="1014"/>
      <c r="W34" s="1014"/>
      <c r="X34" s="1014"/>
      <c r="Y34" s="1014"/>
      <c r="Z34" s="1014"/>
      <c r="AA34" s="1014"/>
      <c r="AB34" s="1014"/>
      <c r="AC34" s="1014"/>
      <c r="AD34" s="1014"/>
      <c r="AE34" s="1014"/>
      <c r="AF34" s="1014"/>
      <c r="AG34" s="1014"/>
      <c r="AH34" s="1014"/>
      <c r="AI34" s="1014"/>
      <c r="AJ34" s="1014"/>
      <c r="AK34" s="1014"/>
      <c r="AL34" s="1014"/>
      <c r="AM34" s="1014"/>
      <c r="AN34" s="1014"/>
      <c r="AO34" s="1014"/>
      <c r="AP34" s="1014"/>
      <c r="AQ34" s="1014"/>
      <c r="AR34" s="1014"/>
      <c r="AS34" s="1014"/>
      <c r="AT34" s="1201"/>
      <c r="BA34" s="1847">
        <v>0</v>
      </c>
    </row>
    <row s="63055" customFormat="1" customHeight="1" ht="18.75">
      <c r="A35" s="2060"/>
      <c r="B35" s="2060"/>
      <c r="C35" s="2060"/>
      <c r="D35" s="2060"/>
      <c r="E35" s="2060"/>
      <c r="F35" s="2060"/>
      <c r="G35" s="2060"/>
      <c r="H35" s="2060"/>
      <c r="I35" s="2060"/>
      <c r="J35" s="2060"/>
      <c r="K35" s="2060"/>
      <c r="L35" s="2061"/>
      <c r="M35" s="2060"/>
      <c r="N35" s="2060"/>
      <c r="O35" s="2060"/>
      <c r="P35" s="2060"/>
      <c r="Q35" s="2060"/>
      <c r="S35" s="2942" t="s">
        <v>495</v>
      </c>
      <c r="T35" s="2942"/>
      <c r="U35" s="2064"/>
      <c r="V35" s="2956" t="str">
        <f>IF(TITLE_DATE_PR_CHANGE="",IF(TITLE_DATE_PR="","",TITLE_DATE_PR),TITLE_DATE_PR_CHANGE)</f>
        <v>45981</v>
      </c>
      <c r="W35" s="2956"/>
      <c r="X35" s="2956"/>
      <c r="Y35" s="2956"/>
      <c r="Z35" s="2956"/>
      <c r="AA35" s="1018"/>
      <c r="AB35" s="2956" t="str">
        <f>IF(TITLE_DATE_PR_CHANGE="",IF(TITLE_DATE_PR="","",TITLE_DATE_PR),TITLE_DATE_PR_CHANGE)</f>
        <v>45981</v>
      </c>
      <c r="AC35" s="2956"/>
      <c r="AD35" s="2956"/>
      <c r="AE35" s="2956"/>
      <c r="AF35" s="2956"/>
      <c r="AG35" s="2956"/>
      <c r="AH35" s="2956"/>
      <c r="AI35" s="2956"/>
      <c r="AJ35" s="2956"/>
      <c r="AK35" s="2956"/>
      <c r="AL35" s="2956"/>
      <c r="AM35" s="2956"/>
      <c r="AN35" s="2956"/>
      <c r="AO35" s="2956"/>
      <c r="AP35" s="2956"/>
      <c r="AQ35" s="2956"/>
      <c r="AR35" s="2956"/>
      <c r="AS35" s="1018"/>
      <c r="AT35" s="1018"/>
      <c r="AU35" s="972"/>
      <c r="AV35" s="1060"/>
      <c r="AW35" s="1060"/>
      <c r="AX35" s="1060"/>
      <c r="AY35" s="1060"/>
      <c r="AZ35" s="1060"/>
      <c r="BA35" s="1110">
        <v>0</v>
      </c>
    </row>
    <row s="63055" customFormat="1" customHeight="1" ht="18">
      <c r="A36" s="2060"/>
      <c r="B36" s="2060"/>
      <c r="C36" s="2060"/>
      <c r="D36" s="2060"/>
      <c r="E36" s="2060"/>
      <c r="F36" s="2060"/>
      <c r="G36" s="2060"/>
      <c r="H36" s="2060"/>
      <c r="I36" s="2060"/>
      <c r="J36" s="2060"/>
      <c r="K36" s="2060"/>
      <c r="L36" s="2061"/>
      <c r="M36" s="2060"/>
      <c r="N36" s="2060"/>
      <c r="O36" s="2060"/>
      <c r="P36" s="2060"/>
      <c r="Q36" s="2060"/>
      <c r="S36" s="2942" t="s">
        <v>496</v>
      </c>
      <c r="T36" s="2942"/>
      <c r="U36" s="2064"/>
      <c r="V36" s="2943" t="str">
        <f>IF(TITLE_NUMBER_PR_CHANGE="",IF(TITLE_NUMBER_PR="","",TITLE_NUMBER_PR),TITLE_NUMBER_PR_CHANGE)</f>
        <v>Исх-260/1781</v>
      </c>
      <c r="W36" s="2943"/>
      <c r="X36" s="2943"/>
      <c r="Y36" s="2943"/>
      <c r="Z36" s="2943"/>
      <c r="AA36" s="1018"/>
      <c r="AB36" s="2943" t="str">
        <f>IF(TITLE_NUMBER_PR_CHANGE="",IF(TITLE_NUMBER_PR="","",TITLE_NUMBER_PR),TITLE_NUMBER_PR_CHANGE)</f>
        <v>Исх-260/1781</v>
      </c>
      <c r="AC36" s="2943"/>
      <c r="AD36" s="2943"/>
      <c r="AE36" s="2943"/>
      <c r="AF36" s="2943"/>
      <c r="AG36" s="2943"/>
      <c r="AH36" s="2943"/>
      <c r="AI36" s="2943"/>
      <c r="AJ36" s="2943"/>
      <c r="AK36" s="2943"/>
      <c r="AL36" s="2943"/>
      <c r="AM36" s="2943"/>
      <c r="AN36" s="2943"/>
      <c r="AO36" s="2943"/>
      <c r="AP36" s="2943"/>
      <c r="AQ36" s="2943"/>
      <c r="AR36" s="2943"/>
      <c r="AS36" s="1018"/>
      <c r="AT36" s="1018"/>
      <c r="AU36" s="972"/>
      <c r="AV36" s="1060"/>
      <c r="AW36" s="1060"/>
      <c r="AX36" s="1060"/>
      <c r="AY36" s="1060"/>
      <c r="AZ36" s="1060"/>
      <c r="BA36" s="1110">
        <v>0</v>
      </c>
    </row>
    <row s="63055" customFormat="1" customHeight="1" ht="1.05">
      <c r="A37" s="2060"/>
      <c r="B37" s="2060"/>
      <c r="C37" s="2060"/>
      <c r="D37" s="2060"/>
      <c r="E37" s="2060"/>
      <c r="F37" s="2060"/>
      <c r="G37" s="2060"/>
      <c r="H37" s="2060"/>
      <c r="I37" s="2060"/>
      <c r="J37" s="2060"/>
      <c r="K37" s="2060"/>
      <c r="L37" s="2061"/>
      <c r="M37" s="2060"/>
      <c r="N37" s="2060"/>
      <c r="O37" s="2060"/>
      <c r="P37" s="2060"/>
      <c r="Q37" s="2060"/>
      <c r="S37" s="1015"/>
      <c r="T37" s="1015"/>
      <c r="U37" s="2032"/>
      <c r="V37" s="1018"/>
      <c r="W37" s="1018"/>
      <c r="X37" s="1018"/>
      <c r="Y37" s="1018"/>
      <c r="Z37" s="1018"/>
      <c r="AA37" s="970" t="s">
        <v>499</v>
      </c>
      <c r="AB37" s="1018"/>
      <c r="AC37" s="1018"/>
      <c r="AD37" s="1018"/>
      <c r="AE37" s="1018"/>
      <c r="AF37" s="1018"/>
      <c r="AG37" s="1018"/>
      <c r="AH37" s="1018"/>
      <c r="AI37" s="1018"/>
      <c r="AJ37" s="1018"/>
      <c r="AK37" s="1018"/>
      <c r="AL37" s="1018"/>
      <c r="AM37" s="1018"/>
      <c r="AN37" s="1018"/>
      <c r="AO37" s="1018"/>
      <c r="AP37" s="1018"/>
      <c r="AQ37" s="1018"/>
      <c r="AR37" s="1018"/>
      <c r="AS37" s="970" t="s">
        <v>499</v>
      </c>
      <c r="AV37" s="1060"/>
      <c r="AW37" s="1060"/>
      <c r="AX37" s="1060"/>
      <c r="AY37" s="1060"/>
      <c r="AZ37" s="1060"/>
      <c r="BA37" s="1110">
        <v>1</v>
      </c>
    </row>
    <row customHeight="1" ht="14.699999999999998">
      <c r="Q38" s="983"/>
      <c r="R38" s="1068"/>
      <c r="S38" s="1967"/>
      <c r="T38" s="1055"/>
      <c r="U38" s="1936"/>
      <c r="V38" s="2944"/>
      <c r="W38" s="2944"/>
      <c r="X38" s="2944"/>
      <c r="Y38" s="2944"/>
      <c r="Z38" s="2944"/>
      <c r="AA38" s="2944"/>
      <c r="AB38" s="2944"/>
      <c r="AC38" s="2944"/>
      <c r="AD38" s="2944"/>
      <c r="AE38" s="2944"/>
      <c r="AF38" s="2944"/>
      <c r="AG38" s="2944"/>
      <c r="AH38" s="2944"/>
      <c r="AI38" s="2944"/>
      <c r="AJ38" s="2944"/>
      <c r="AK38" s="2944"/>
      <c r="AL38" s="2944"/>
      <c r="AM38" s="2944"/>
      <c r="AN38" s="2944"/>
      <c r="AO38" s="2944"/>
      <c r="AP38" s="2944"/>
      <c r="AQ38" s="2944"/>
      <c r="AR38" s="2944"/>
      <c r="AS38" s="2944"/>
      <c r="BA38" s="1847">
        <v>14</v>
      </c>
    </row>
    <row customHeight="1" ht="14.699999999999998">
      <c r="Q39" s="983"/>
      <c r="R39" s="1068"/>
      <c r="S39" s="2819" t="s">
        <v>375</v>
      </c>
      <c r="T39" s="2819"/>
      <c r="U39" s="2819"/>
      <c r="V39" s="2819"/>
      <c r="W39" s="2819"/>
      <c r="X39" s="2819"/>
      <c r="Y39" s="2819"/>
      <c r="Z39" s="2819"/>
      <c r="AA39" s="2819"/>
      <c r="AB39" s="2867"/>
      <c r="AC39" s="2867"/>
      <c r="AD39" s="2867"/>
      <c r="AE39" s="2867"/>
      <c r="AF39" s="2819"/>
      <c r="AG39" s="2819"/>
      <c r="AH39" s="2819"/>
      <c r="AI39" s="2819"/>
      <c r="AJ39" s="2819"/>
      <c r="AK39" s="2819"/>
      <c r="AL39" s="2819"/>
      <c r="AM39" s="2819"/>
      <c r="AN39" s="2819"/>
      <c r="AO39" s="2819"/>
      <c r="AP39" s="2819"/>
      <c r="AQ39" s="2819"/>
      <c r="AR39" s="2819"/>
      <c r="AS39" s="2819"/>
      <c r="AT39" s="2819"/>
      <c r="AU39" s="2819" t="s">
        <v>376</v>
      </c>
      <c r="BA39" s="1847">
        <v>14</v>
      </c>
    </row>
    <row customHeight="1" ht="14.699999999999998">
      <c r="Q40" s="983"/>
      <c r="R40" s="1068"/>
      <c r="S40" s="2965" t="s">
        <v>89</v>
      </c>
      <c r="T40" s="2901" t="s">
        <v>547</v>
      </c>
      <c r="U40" s="993"/>
      <c r="V40" s="2967"/>
      <c r="W40" s="2967"/>
      <c r="X40" s="2967"/>
      <c r="Y40" s="2967"/>
      <c r="Z40" s="2968"/>
      <c r="AA40" s="3028" t="s">
        <v>502</v>
      </c>
      <c r="AB40" s="3020" t="s">
        <v>548</v>
      </c>
      <c r="AC40" s="2983"/>
      <c r="AD40" s="2983"/>
      <c r="AE40" s="3021"/>
      <c r="AF40" s="2983" t="s">
        <v>549</v>
      </c>
      <c r="AG40" s="2983"/>
      <c r="AH40" s="2983"/>
      <c r="AI40" s="3021"/>
      <c r="AJ40" s="3020" t="s">
        <v>550</v>
      </c>
      <c r="AK40" s="2983"/>
      <c r="AL40" s="2983"/>
      <c r="AM40" s="3021"/>
      <c r="AN40" s="3020" t="s">
        <v>501</v>
      </c>
      <c r="AO40" s="2983"/>
      <c r="AP40" s="2967"/>
      <c r="AQ40" s="2967"/>
      <c r="AR40" s="2968"/>
      <c r="AS40" s="2969" t="s">
        <v>502</v>
      </c>
      <c r="AT40" s="2972" t="s">
        <v>504</v>
      </c>
      <c r="AU40" s="2819"/>
      <c r="BA40" s="1847">
        <v>14</v>
      </c>
    </row>
    <row customHeight="1" ht="35.699999999999996">
      <c r="Q41" s="983"/>
      <c r="R41" s="1068"/>
      <c r="S41" s="2965"/>
      <c r="T41" s="2901"/>
      <c r="U41" s="1723"/>
      <c r="V41" s="2819" t="s">
        <v>551</v>
      </c>
      <c r="W41" s="2819"/>
      <c r="X41" s="2986" t="s">
        <v>508</v>
      </c>
      <c r="Y41" s="3005"/>
      <c r="Z41" s="3006"/>
      <c r="AA41" s="3029"/>
      <c r="AB41" s="3022"/>
      <c r="AC41" s="3023"/>
      <c r="AD41" s="3023"/>
      <c r="AE41" s="3024"/>
      <c r="AF41" s="3023"/>
      <c r="AG41" s="3023"/>
      <c r="AH41" s="3023"/>
      <c r="AI41" s="3024"/>
      <c r="AJ41" s="3022"/>
      <c r="AK41" s="3023"/>
      <c r="AL41" s="3023"/>
      <c r="AM41" s="3023"/>
      <c r="AN41" s="2819" t="s">
        <v>551</v>
      </c>
      <c r="AO41" s="2819"/>
      <c r="AP41" s="3005" t="s">
        <v>508</v>
      </c>
      <c r="AQ41" s="3005"/>
      <c r="AR41" s="3006"/>
      <c r="AS41" s="2970"/>
      <c r="AT41" s="2973"/>
      <c r="AU41" s="2819"/>
      <c r="BA41" s="1847">
        <v>34</v>
      </c>
    </row>
    <row customHeight="1" ht="14.699999999999998">
      <c r="Q42" s="983"/>
      <c r="R42" s="1068"/>
      <c r="S42" s="2965"/>
      <c r="T42" s="2901"/>
      <c r="U42" s="1723"/>
      <c r="V42" s="3032" t="str">
        <f>IF($AN$42&lt;&gt;"",$AN$42,"")</f>
        <v/>
      </c>
      <c r="W42" s="3032"/>
      <c r="X42" s="2987"/>
      <c r="Y42" s="3007"/>
      <c r="Z42" s="3008"/>
      <c r="AA42" s="3029"/>
      <c r="AB42" s="3022"/>
      <c r="AC42" s="3023"/>
      <c r="AD42" s="3023"/>
      <c r="AE42" s="3024"/>
      <c r="AF42" s="3023"/>
      <c r="AG42" s="3023"/>
      <c r="AH42" s="3023"/>
      <c r="AI42" s="3024"/>
      <c r="AJ42" s="3022"/>
      <c r="AK42" s="3023"/>
      <c r="AL42" s="3023"/>
      <c r="AM42" s="3023"/>
      <c r="AN42" s="3031"/>
      <c r="AO42" s="3031"/>
      <c r="AP42" s="3007"/>
      <c r="AQ42" s="3007"/>
      <c r="AR42" s="3008"/>
      <c r="AS42" s="2970"/>
      <c r="AT42" s="2973"/>
      <c r="AU42" s="2819"/>
      <c r="BA42" s="1847">
        <v>14</v>
      </c>
    </row>
    <row customHeight="1" ht="14.699999999999998">
      <c r="A43" s="2062"/>
      <c r="B43" s="2062" t="s">
        <v>143</v>
      </c>
      <c r="C43" s="2062" t="s">
        <v>144</v>
      </c>
      <c r="D43" s="2062" t="s">
        <v>145</v>
      </c>
      <c r="E43" s="2056" t="s">
        <v>509</v>
      </c>
      <c r="F43" s="2056" t="s">
        <v>510</v>
      </c>
      <c r="G43" s="2056" t="s">
        <v>511</v>
      </c>
      <c r="H43" s="2056" t="s">
        <v>512</v>
      </c>
      <c r="I43" s="2056" t="s">
        <v>513</v>
      </c>
      <c r="J43" s="2056" t="s">
        <v>514</v>
      </c>
      <c r="K43" s="2056" t="s">
        <v>515</v>
      </c>
      <c r="L43" s="2056" t="s">
        <v>490</v>
      </c>
      <c r="Q43" s="983"/>
      <c r="R43" s="1068"/>
      <c r="S43" s="2965"/>
      <c r="T43" s="2901"/>
      <c r="U43" s="994"/>
      <c r="V43" s="2022" t="s">
        <v>552</v>
      </c>
      <c r="W43" s="2022" t="s">
        <v>553</v>
      </c>
      <c r="X43" s="2030" t="s">
        <v>518</v>
      </c>
      <c r="Y43" s="2962" t="s">
        <v>519</v>
      </c>
      <c r="Z43" s="2963"/>
      <c r="AA43" s="3030"/>
      <c r="AB43" s="3025"/>
      <c r="AC43" s="3026"/>
      <c r="AD43" s="3026"/>
      <c r="AE43" s="3027"/>
      <c r="AF43" s="3026"/>
      <c r="AG43" s="3026"/>
      <c r="AH43" s="3026"/>
      <c r="AI43" s="3027"/>
      <c r="AJ43" s="3025"/>
      <c r="AK43" s="3026"/>
      <c r="AL43" s="3026"/>
      <c r="AM43" s="3027"/>
      <c r="AN43" s="2552" t="s">
        <v>552</v>
      </c>
      <c r="AO43" s="2552" t="s">
        <v>553</v>
      </c>
      <c r="AP43" s="2030" t="s">
        <v>518</v>
      </c>
      <c r="AQ43" s="2962" t="s">
        <v>519</v>
      </c>
      <c r="AR43" s="2963"/>
      <c r="AS43" s="2971"/>
      <c r="AT43" s="2974"/>
      <c r="AU43" s="2819"/>
      <c r="BA43" s="1847">
        <v>14</v>
      </c>
    </row>
    <row s="61193" customFormat="1" customHeight="1" ht="11.25" hidden="1">
      <c r="A44" s="2062"/>
      <c r="B44" s="2062"/>
      <c r="C44" s="2062"/>
      <c r="D44" s="2062"/>
      <c r="E44" s="2062"/>
      <c r="F44" s="2062"/>
      <c r="G44" s="2062"/>
      <c r="H44" s="2062"/>
      <c r="I44" s="2062"/>
      <c r="J44" s="2062"/>
      <c r="K44" s="2062"/>
      <c r="L44" s="2056"/>
      <c r="M44" s="2054"/>
      <c r="N44" s="2054"/>
      <c r="O44" s="2054"/>
      <c r="P44" s="1202"/>
      <c r="Q44" s="1946"/>
      <c r="R44" s="1946">
        <v>1</v>
      </c>
      <c r="S44" s="1969" t="s">
        <v>118</v>
      </c>
      <c r="T44" s="1947" t="s">
        <v>103</v>
      </c>
      <c r="U44" s="1937" t="str">
        <f>OFFSET(U44,0,-1)</f>
        <v>2</v>
      </c>
      <c r="V44" s="2027">
        <f>OFFSET(V44,0,-1)+1</f>
        <v>3</v>
      </c>
      <c r="W44" s="2027">
        <f>OFFSET(W44,0,-1)+1</f>
        <v>4</v>
      </c>
      <c r="X44" s="2027">
        <f>OFFSET(X44,0,-1)+1</f>
        <v>5</v>
      </c>
      <c r="Y44" s="2964">
        <f>OFFSET(Y44,0,-1)+1</f>
        <v>6</v>
      </c>
      <c r="Z44" s="2964"/>
      <c r="AA44" s="2027">
        <f>OFFSET(AA44,0,-2)+1</f>
        <v>7</v>
      </c>
      <c r="AB44" s="2033">
        <f>OFFSET(AB44,0,-1)+1</f>
        <v>8</v>
      </c>
      <c r="AC44" s="2033"/>
      <c r="AD44" s="2033"/>
      <c r="AE44" s="2033"/>
      <c r="AF44" s="2027"/>
      <c r="AG44" s="2027"/>
      <c r="AH44" s="2027"/>
      <c r="AI44" s="2027"/>
      <c r="AJ44" s="2027"/>
      <c r="AK44" s="2027"/>
      <c r="AL44" s="2027"/>
      <c r="AM44" s="2027"/>
      <c r="AN44" s="2027">
        <f>OFFSET(AN44,0,-1)+1</f>
        <v>1</v>
      </c>
      <c r="AO44" s="2027">
        <f>OFFSET(AO44,0,-1)+1</f>
        <v>2</v>
      </c>
      <c r="AP44" s="2027">
        <f>OFFSET(AP44,0,-1)+1</f>
        <v>3</v>
      </c>
      <c r="AQ44" s="2964">
        <f>OFFSET(AQ44,0,-1)+1</f>
        <v>4</v>
      </c>
      <c r="AR44" s="2964"/>
      <c r="AS44" s="2027">
        <f>OFFSET(AS44,0,-2)+1</f>
        <v>5</v>
      </c>
      <c r="AT44" s="1937">
        <f>OFFSET(AT44,0,-1)</f>
        <v>5</v>
      </c>
      <c r="AU44" s="2027">
        <f>OFFSET(AU44,0,-1)+1</f>
        <v>6</v>
      </c>
      <c r="AV44" s="1203"/>
      <c r="AW44" s="1203"/>
      <c r="AX44" s="1203"/>
      <c r="AY44" s="1203"/>
      <c r="AZ44" s="1203"/>
      <c r="BA44" s="1188">
        <v>0</v>
      </c>
    </row>
    <row customHeight="1" ht="107.25">
      <c r="A45" s="2055" t="s">
        <v>275</v>
      </c>
      <c r="B45" s="2055"/>
      <c r="C45" s="2055"/>
      <c r="D45" s="2055"/>
      <c r="E45" s="2950">
        <v>1</v>
      </c>
      <c r="F45" s="2055"/>
      <c r="G45" s="2055"/>
      <c r="H45" s="2055"/>
      <c r="I45" s="2055"/>
      <c r="J45" s="2055"/>
      <c r="K45" s="2055"/>
      <c r="L45" s="2056"/>
      <c r="M45" s="2057"/>
      <c r="N45" s="2057"/>
      <c r="O45" s="2057"/>
      <c r="P45" s="2101"/>
      <c r="Q45" s="1565"/>
      <c r="R45" s="1047"/>
      <c r="S45" s="2028">
        <f>INDEX(PT_DIFFERENTIATION_NUM_NTAR,MATCH(A45,PT_DIFFERENTIATION_NTAR_ID,0))</f>
        <v>0</v>
      </c>
      <c r="T45" s="990" t="s">
        <v>131</v>
      </c>
      <c r="U45" s="992"/>
      <c r="V45" s="2935"/>
      <c r="W45" s="2935"/>
      <c r="X45" s="2935"/>
      <c r="Y45" s="2935"/>
      <c r="Z45" s="2935"/>
      <c r="AA45" s="2936"/>
      <c r="AB45" s="2934" t="str">
        <f>INDEX(PT_DIFFERENTIATION_NTAR,MATCH(A45,PT_DIFFERENTIATION_NTAR_ID,0))</f>
        <v/>
      </c>
      <c r="AC45" s="2935"/>
      <c r="AD45" s="2935"/>
      <c r="AE45" s="2935"/>
      <c r="AF45" s="2935"/>
      <c r="AG45" s="2935"/>
      <c r="AH45" s="2935"/>
      <c r="AI45" s="2935"/>
      <c r="AJ45" s="2935"/>
      <c r="AK45" s="2935"/>
      <c r="AL45" s="2935"/>
      <c r="AM45" s="2935"/>
      <c r="AN45" s="2935"/>
      <c r="AO45" s="2935"/>
      <c r="AP45" s="2935"/>
      <c r="AQ45" s="2935"/>
      <c r="AR45" s="2935"/>
      <c r="AS45" s="2935"/>
      <c r="AT45" s="2936"/>
      <c r="AU45" s="195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192"/>
      <c r="AX45" s="1192" t="str">
        <f>IF(T45="","",T45)</f>
        <v>Наименование тарифа</v>
      </c>
      <c r="AY45" s="1192"/>
      <c r="AZ45" s="1192"/>
      <c r="BA45" s="1847">
        <v>102</v>
      </c>
    </row>
    <row customHeight="1" ht="22.049999999999997">
      <c r="A46" s="2055" t="s">
        <v>275</v>
      </c>
      <c r="B46" s="2055" t="s">
        <v>276</v>
      </c>
      <c r="C46" s="2055"/>
      <c r="D46" s="2055"/>
      <c r="E46" s="2951"/>
      <c r="F46" s="2950">
        <v>1</v>
      </c>
      <c r="G46" s="2055"/>
      <c r="H46" s="2055"/>
      <c r="I46" s="2055"/>
      <c r="J46" s="2055"/>
      <c r="K46" s="2055"/>
      <c r="L46" s="2056"/>
      <c r="M46" s="2057"/>
      <c r="N46" s="2057"/>
      <c r="O46" s="2057"/>
      <c r="P46" s="2102"/>
      <c r="Q46" s="2103"/>
      <c r="R46" s="1045"/>
      <c r="S46" s="2028" t="str">
        <f>INDEX(PT_DIFFERENTIATION_NUM_TER,MATCH(B46,PT_DIFFERENTIATION_TER_ID,0))</f>
        <v>.</v>
      </c>
      <c r="T46" s="1000" t="s">
        <v>472</v>
      </c>
      <c r="U46" s="992"/>
      <c r="V46" s="2935"/>
      <c r="W46" s="2935"/>
      <c r="X46" s="2935"/>
      <c r="Y46" s="2935"/>
      <c r="Z46" s="2935"/>
      <c r="AA46" s="2936"/>
      <c r="AB46" s="2934" t="str">
        <f>INDEX(PT_DIFFERENTIATION_TER,MATCH(B46,PT_DIFFERENTIATION_TER_ID,0))</f>
        <v/>
      </c>
      <c r="AC46" s="2935"/>
      <c r="AD46" s="2935"/>
      <c r="AE46" s="2935"/>
      <c r="AF46" s="2935"/>
      <c r="AG46" s="2935"/>
      <c r="AH46" s="2935"/>
      <c r="AI46" s="2935"/>
      <c r="AJ46" s="2935"/>
      <c r="AK46" s="2935"/>
      <c r="AL46" s="2935"/>
      <c r="AM46" s="2935"/>
      <c r="AN46" s="2935"/>
      <c r="AO46" s="2935"/>
      <c r="AP46" s="2935"/>
      <c r="AQ46" s="2935"/>
      <c r="AR46" s="2935"/>
      <c r="AS46" s="2935"/>
      <c r="AT46" s="2936"/>
      <c r="AU46" s="1950" t="s">
        <v>473</v>
      </c>
      <c r="AW46" s="1192"/>
      <c r="AX46" s="1192" t="str">
        <f>IF(T46="","",T46)</f>
        <v>Территория действия тарифа</v>
      </c>
      <c r="AY46" s="1192"/>
      <c r="AZ46" s="1192"/>
      <c r="BA46" s="1847">
        <v>21</v>
      </c>
    </row>
    <row customHeight="1" ht="24">
      <c r="A47" s="2055" t="s">
        <v>275</v>
      </c>
      <c r="B47" s="2055" t="s">
        <v>276</v>
      </c>
      <c r="C47" s="2055" t="s">
        <v>277</v>
      </c>
      <c r="D47" s="2055"/>
      <c r="E47" s="2951"/>
      <c r="F47" s="2951"/>
      <c r="G47" s="2950">
        <v>1</v>
      </c>
      <c r="H47" s="2055"/>
      <c r="I47" s="2055"/>
      <c r="J47" s="2055"/>
      <c r="K47" s="2055"/>
      <c r="L47" s="2056"/>
      <c r="M47" s="2057"/>
      <c r="N47" s="2057"/>
      <c r="O47" s="2057"/>
      <c r="P47" s="2104"/>
      <c r="Q47" s="2103"/>
      <c r="R47" s="1045"/>
      <c r="S47" s="2028" t="str">
        <f>INDEX(PT_DIFFERENTIATION_NUM_CS,MATCH(C47,PT_DIFFERENTIATION_CS_ID,0))</f>
        <v>..</v>
      </c>
      <c r="T47" s="1001" t="s">
        <v>474</v>
      </c>
      <c r="U47" s="992"/>
      <c r="V47" s="2935"/>
      <c r="W47" s="2935"/>
      <c r="X47" s="2935"/>
      <c r="Y47" s="2935"/>
      <c r="Z47" s="2935"/>
      <c r="AA47" s="2936"/>
      <c r="AB47" s="2934" t="str">
        <f>INDEX(PT_DIFFERENTIATION_CS,MATCH(C47,PT_DIFFERENTIATION_CS_ID,0))</f>
        <v/>
      </c>
      <c r="AC47" s="2935"/>
      <c r="AD47" s="2935"/>
      <c r="AE47" s="2935"/>
      <c r="AF47" s="2935"/>
      <c r="AG47" s="2935"/>
      <c r="AH47" s="2935"/>
      <c r="AI47" s="2935"/>
      <c r="AJ47" s="2935"/>
      <c r="AK47" s="2935"/>
      <c r="AL47" s="2935"/>
      <c r="AM47" s="2935"/>
      <c r="AN47" s="2935"/>
      <c r="AO47" s="2935"/>
      <c r="AP47" s="2935"/>
      <c r="AQ47" s="2935"/>
      <c r="AR47" s="2935"/>
      <c r="AS47" s="2935"/>
      <c r="AT47" s="2936"/>
      <c r="AU47" s="1950" t="s">
        <v>475</v>
      </c>
      <c r="AW47" s="1192"/>
      <c r="AX47" s="1192" t="str">
        <f>IF(T47="","",T47)</f>
        <v>Наименование системы теплоснабжения </v>
      </c>
      <c r="AY47" s="1192"/>
      <c r="AZ47" s="1192"/>
      <c r="BA47" s="1847">
        <v>23</v>
      </c>
    </row>
    <row customHeight="1" ht="21">
      <c r="A48" s="2055" t="s">
        <v>275</v>
      </c>
      <c r="B48" s="2055" t="s">
        <v>276</v>
      </c>
      <c r="C48" s="2055" t="s">
        <v>277</v>
      </c>
      <c r="D48" s="2055" t="s">
        <v>278</v>
      </c>
      <c r="E48" s="2951"/>
      <c r="F48" s="2951"/>
      <c r="G48" s="2951"/>
      <c r="H48" s="2950">
        <v>1</v>
      </c>
      <c r="I48" s="2055"/>
      <c r="J48" s="2055"/>
      <c r="K48" s="2055"/>
      <c r="L48" s="2056"/>
      <c r="M48" s="2057"/>
      <c r="N48" s="2057"/>
      <c r="O48" s="2057"/>
      <c r="P48" s="2104"/>
      <c r="Q48" s="2103"/>
      <c r="R48" s="1045"/>
      <c r="S48" s="2028" t="str">
        <f>INDEX(PT_DIFFERENTIATION_NUM_IST_TE,MATCH(D48,PT_DIFFERENTIATION_IST_TE_ID,0))</f>
        <v>...</v>
      </c>
      <c r="T48" s="1002" t="s">
        <v>476</v>
      </c>
      <c r="U48" s="992"/>
      <c r="V48" s="2935"/>
      <c r="W48" s="2935"/>
      <c r="X48" s="2935"/>
      <c r="Y48" s="2935"/>
      <c r="Z48" s="2935"/>
      <c r="AA48" s="2936"/>
      <c r="AB48" s="2934" t="str">
        <f>INDEX(PT_DIFFERENTIATION_IST_TE,MATCH(D48,PT_DIFFERENTIATION_IST_TE_ID,0))</f>
        <v/>
      </c>
      <c r="AC48" s="2935"/>
      <c r="AD48" s="2935"/>
      <c r="AE48" s="2935"/>
      <c r="AF48" s="2935"/>
      <c r="AG48" s="2935"/>
      <c r="AH48" s="2935"/>
      <c r="AI48" s="2935"/>
      <c r="AJ48" s="2935"/>
      <c r="AK48" s="2935"/>
      <c r="AL48" s="2935"/>
      <c r="AM48" s="2935"/>
      <c r="AN48" s="2935"/>
      <c r="AO48" s="2935"/>
      <c r="AP48" s="2935"/>
      <c r="AQ48" s="2935"/>
      <c r="AR48" s="2935"/>
      <c r="AS48" s="2935"/>
      <c r="AT48" s="2936"/>
      <c r="AU48" s="1950" t="s">
        <v>477</v>
      </c>
      <c r="AW48" s="1192"/>
      <c r="AX48" s="1192" t="str">
        <f>IF(T48="","",T48)</f>
        <v>Источник тепловой энергии  </v>
      </c>
      <c r="AY48" s="1192"/>
      <c r="AZ48" s="1192"/>
      <c r="BA48" s="1847">
        <v>20</v>
      </c>
    </row>
    <row s="61695" customFormat="1" customHeight="1" ht="1.05">
      <c r="A49" s="2035" t="s">
        <v>275</v>
      </c>
      <c r="B49" s="2035" t="s">
        <v>276</v>
      </c>
      <c r="C49" s="2035" t="s">
        <v>277</v>
      </c>
      <c r="D49" s="2035" t="s">
        <v>278</v>
      </c>
      <c r="E49" s="2951"/>
      <c r="F49" s="2951"/>
      <c r="G49" s="2951"/>
      <c r="H49" s="2951"/>
      <c r="I49" s="2948" t="str">
        <f>S48&amp;".1"</f>
        <v>....1</v>
      </c>
      <c r="J49" s="2035"/>
      <c r="K49" s="2035"/>
      <c r="L49" s="2038" t="s">
        <v>478</v>
      </c>
      <c r="M49" s="1202"/>
      <c r="N49" s="1202"/>
      <c r="O49" s="1202"/>
      <c r="P49" s="2949">
        <v>1</v>
      </c>
      <c r="Q49" s="2023"/>
      <c r="R49" s="1048"/>
      <c r="S49" s="1734"/>
      <c r="T49" s="2075"/>
      <c r="U49" s="2076"/>
      <c r="V49" s="2989"/>
      <c r="W49" s="2989"/>
      <c r="X49" s="2989"/>
      <c r="Y49" s="2989"/>
      <c r="Z49" s="2989"/>
      <c r="AA49" s="2990"/>
      <c r="AB49" s="2988"/>
      <c r="AC49" s="2989"/>
      <c r="AD49" s="2989"/>
      <c r="AE49" s="2989"/>
      <c r="AF49" s="2989"/>
      <c r="AG49" s="2989"/>
      <c r="AH49" s="2989"/>
      <c r="AI49" s="2989"/>
      <c r="AJ49" s="2989"/>
      <c r="AK49" s="2989"/>
      <c r="AL49" s="2989"/>
      <c r="AM49" s="2989"/>
      <c r="AN49" s="2989"/>
      <c r="AO49" s="2989"/>
      <c r="AP49" s="2989"/>
      <c r="AQ49" s="2989"/>
      <c r="AR49" s="2989"/>
      <c r="AS49" s="2989"/>
      <c r="AT49" s="2990"/>
      <c r="AU49" s="2077"/>
      <c r="AW49" s="1192"/>
      <c r="AX49" s="1192" t="str">
        <f>IF(T49="","",T49)</f>
        <v/>
      </c>
      <c r="AY49" s="1192"/>
      <c r="AZ49" s="1192"/>
      <c r="BA49" s="1203">
        <v>1</v>
      </c>
    </row>
    <row s="61695" customFormat="1" customHeight="1" ht="1.05">
      <c r="A50" s="2035" t="s">
        <v>275</v>
      </c>
      <c r="B50" s="2035" t="s">
        <v>276</v>
      </c>
      <c r="C50" s="2035" t="s">
        <v>277</v>
      </c>
      <c r="D50" s="2035" t="s">
        <v>278</v>
      </c>
      <c r="E50" s="2951"/>
      <c r="F50" s="2951"/>
      <c r="G50" s="2951"/>
      <c r="H50" s="2951"/>
      <c r="I50" s="2978"/>
      <c r="J50" s="2948" t="str">
        <f>S48&amp;".1"</f>
        <v>....1</v>
      </c>
      <c r="K50" s="2035"/>
      <c r="L50" s="2038"/>
      <c r="M50" s="1202"/>
      <c r="N50" s="1202"/>
      <c r="O50" s="1202"/>
      <c r="P50" s="2949"/>
      <c r="Q50" s="2949">
        <v>1</v>
      </c>
      <c r="R50" s="1049"/>
      <c r="S50" s="1734"/>
      <c r="T50" s="2091"/>
      <c r="U50" s="2076"/>
      <c r="V50" s="2989"/>
      <c r="W50" s="2989"/>
      <c r="X50" s="2989"/>
      <c r="Y50" s="2989"/>
      <c r="Z50" s="2989"/>
      <c r="AA50" s="2990"/>
      <c r="AB50" s="2988"/>
      <c r="AC50" s="2989"/>
      <c r="AD50" s="2989"/>
      <c r="AE50" s="2989"/>
      <c r="AF50" s="2989"/>
      <c r="AG50" s="2989"/>
      <c r="AH50" s="2989"/>
      <c r="AI50" s="2989"/>
      <c r="AJ50" s="2989"/>
      <c r="AK50" s="2989"/>
      <c r="AL50" s="2989"/>
      <c r="AM50" s="2989"/>
      <c r="AN50" s="2989"/>
      <c r="AO50" s="2989"/>
      <c r="AP50" s="2989"/>
      <c r="AQ50" s="2989"/>
      <c r="AR50" s="2989"/>
      <c r="AS50" s="2989"/>
      <c r="AT50" s="2990"/>
      <c r="AU50" s="2077"/>
      <c r="AW50" s="1192"/>
      <c r="AX50" s="1192" t="str">
        <f>IF(T50="","",T50)</f>
        <v/>
      </c>
      <c r="AY50" s="1192"/>
      <c r="AZ50" s="1192"/>
      <c r="BA50" s="1203">
        <v>1</v>
      </c>
    </row>
    <row customHeight="1" ht="22.049999999999997">
      <c r="A51" s="2055" t="s">
        <v>275</v>
      </c>
      <c r="B51" s="2055" t="s">
        <v>276</v>
      </c>
      <c r="C51" s="2055" t="s">
        <v>277</v>
      </c>
      <c r="D51" s="2055" t="s">
        <v>278</v>
      </c>
      <c r="E51" s="2951"/>
      <c r="F51" s="2951"/>
      <c r="G51" s="2951"/>
      <c r="H51" s="2951"/>
      <c r="I51" s="2978"/>
      <c r="J51" s="2978"/>
      <c r="K51" s="2948" t="str">
        <f>S48&amp;".1"</f>
        <v>....1</v>
      </c>
      <c r="L51" s="2056"/>
      <c r="P51" s="2949"/>
      <c r="Q51" s="2949"/>
      <c r="R51" s="1049">
        <v>1</v>
      </c>
      <c r="S51" s="3033" t="str">
        <f>$K51</f>
        <v>....1</v>
      </c>
      <c r="T51" s="3036"/>
      <c r="U51" s="992"/>
      <c r="V51" s="1443"/>
      <c r="W51" s="1949"/>
      <c r="X51" s="2426"/>
      <c r="Y51" s="2151" t="s">
        <v>67</v>
      </c>
      <c r="Z51" s="2426"/>
      <c r="AA51" s="2151" t="s">
        <v>67</v>
      </c>
      <c r="AB51" s="2799" t="s">
        <v>19</v>
      </c>
      <c r="AC51" s="3018"/>
      <c r="AD51" s="2897">
        <v>1</v>
      </c>
      <c r="AE51" s="3040" t="s">
        <v>28</v>
      </c>
      <c r="AF51" s="2799" t="s">
        <v>19</v>
      </c>
      <c r="AG51" s="3018"/>
      <c r="AH51" s="2897">
        <v>1</v>
      </c>
      <c r="AI51" s="3040" t="s">
        <v>28</v>
      </c>
      <c r="AJ51" s="2799" t="s">
        <v>19</v>
      </c>
      <c r="AK51" s="1003"/>
      <c r="AL51" s="2029">
        <v>1</v>
      </c>
      <c r="AM51" s="2094"/>
      <c r="AN51" s="1443"/>
      <c r="AO51" s="1949"/>
      <c r="AP51" s="2426"/>
      <c r="AQ51" s="2151" t="s">
        <v>67</v>
      </c>
      <c r="AR51" s="2426"/>
      <c r="AS51" s="2151" t="s">
        <v>67</v>
      </c>
      <c r="AT51" s="2040"/>
      <c r="AU51" s="2945" t="s">
        <v>554</v>
      </c>
      <c r="AV51" s="1203">
        <f>STRCHECKDATE(V54:AT54)</f>
      </c>
      <c r="AW51" s="1192"/>
      <c r="AX51" s="1192" t="str">
        <f>IF(T51="","",T51)</f>
        <v/>
      </c>
      <c r="AY51" s="1192"/>
      <c r="AZ51" s="1192"/>
      <c r="BA51" s="1847">
        <v>21</v>
      </c>
    </row>
    <row customHeight="1" ht="11.549999999999999">
      <c r="A52" s="2055" t="s">
        <v>275</v>
      </c>
      <c r="B52" s="2055"/>
      <c r="C52" s="2055"/>
      <c r="D52" s="2055"/>
      <c r="E52" s="2951"/>
      <c r="F52" s="2951"/>
      <c r="G52" s="2951"/>
      <c r="H52" s="2951"/>
      <c r="I52" s="2978"/>
      <c r="J52" s="2978"/>
      <c r="K52" s="2948"/>
      <c r="L52" s="2056"/>
      <c r="P52" s="2949"/>
      <c r="Q52" s="2949"/>
      <c r="R52" s="1049"/>
      <c r="S52" s="3034"/>
      <c r="T52" s="3037"/>
      <c r="U52" s="992"/>
      <c r="V52" s="2085"/>
      <c r="W52" s="2188"/>
      <c r="X52" s="2085"/>
      <c r="Y52" s="2085"/>
      <c r="Z52" s="2085"/>
      <c r="AA52" s="2085"/>
      <c r="AB52" s="2799"/>
      <c r="AC52" s="3018"/>
      <c r="AD52" s="2897"/>
      <c r="AE52" s="3040"/>
      <c r="AF52" s="2799"/>
      <c r="AG52" s="3018"/>
      <c r="AH52" s="2897"/>
      <c r="AI52" s="3040"/>
      <c r="AJ52" s="2799"/>
      <c r="AK52" s="1008"/>
      <c r="AL52" s="1108"/>
      <c r="AM52" s="1107" t="s">
        <v>539</v>
      </c>
      <c r="AN52" s="2085"/>
      <c r="AO52" s="2188"/>
      <c r="AP52" s="2085"/>
      <c r="AQ52" s="2085"/>
      <c r="AR52" s="2085"/>
      <c r="AS52" s="2085"/>
      <c r="AT52" s="2082"/>
      <c r="AU52" s="2946"/>
      <c r="AW52" s="1192"/>
      <c r="AX52" s="1192"/>
      <c r="AY52" s="1192"/>
      <c r="AZ52" s="1192"/>
      <c r="BA52" s="1847">
        <v>11</v>
      </c>
    </row>
    <row customHeight="1" ht="11.549999999999999">
      <c r="A53" s="2055" t="s">
        <v>275</v>
      </c>
      <c r="B53" s="2055"/>
      <c r="C53" s="2055"/>
      <c r="D53" s="2055"/>
      <c r="E53" s="2951"/>
      <c r="F53" s="2951"/>
      <c r="G53" s="2951"/>
      <c r="H53" s="2951"/>
      <c r="I53" s="2978"/>
      <c r="J53" s="2978"/>
      <c r="K53" s="2948"/>
      <c r="L53" s="2056"/>
      <c r="P53" s="2949"/>
      <c r="Q53" s="2949"/>
      <c r="R53" s="1049"/>
      <c r="S53" s="3034"/>
      <c r="T53" s="3037"/>
      <c r="U53" s="992"/>
      <c r="V53" s="2085"/>
      <c r="W53" s="2188"/>
      <c r="X53" s="2085"/>
      <c r="Y53" s="2085"/>
      <c r="Z53" s="2085"/>
      <c r="AA53" s="2085"/>
      <c r="AB53" s="2799"/>
      <c r="AC53" s="3018"/>
      <c r="AD53" s="2897"/>
      <c r="AE53" s="3040"/>
      <c r="AF53" s="2799"/>
      <c r="AG53" s="986"/>
      <c r="AH53" s="1107"/>
      <c r="AI53" s="1107" t="s">
        <v>540</v>
      </c>
      <c r="AJ53" s="2085"/>
      <c r="AK53" s="2085"/>
      <c r="AL53" s="2085"/>
      <c r="AM53" s="2085"/>
      <c r="AN53" s="2085"/>
      <c r="AO53" s="2188"/>
      <c r="AP53" s="2085"/>
      <c r="AQ53" s="2085"/>
      <c r="AR53" s="2085"/>
      <c r="AS53" s="2085"/>
      <c r="AT53" s="2082"/>
      <c r="AU53" s="2946"/>
      <c r="AW53" s="1192"/>
      <c r="AX53" s="1192"/>
      <c r="AY53" s="1192"/>
      <c r="AZ53" s="1192"/>
      <c r="BA53" s="1847">
        <v>11</v>
      </c>
    </row>
    <row customHeight="1" ht="11.549999999999999">
      <c r="A54" s="2055" t="s">
        <v>275</v>
      </c>
      <c r="B54" s="2055" t="s">
        <v>276</v>
      </c>
      <c r="C54" s="2055" t="s">
        <v>277</v>
      </c>
      <c r="D54" s="2055" t="s">
        <v>278</v>
      </c>
      <c r="E54" s="2951"/>
      <c r="F54" s="2951"/>
      <c r="G54" s="2951"/>
      <c r="H54" s="2951"/>
      <c r="I54" s="2978"/>
      <c r="J54" s="2978"/>
      <c r="K54" s="2948"/>
      <c r="L54" s="2056"/>
      <c r="P54" s="2949"/>
      <c r="Q54" s="2949"/>
      <c r="R54" s="1049"/>
      <c r="S54" s="3035"/>
      <c r="T54" s="3038"/>
      <c r="U54" s="992"/>
      <c r="V54" s="2085"/>
      <c r="W54" s="2086" t="str">
        <f>X51&amp;"-"&amp;Z51</f>
        <v>-</v>
      </c>
      <c r="X54" s="2085"/>
      <c r="Y54" s="2085"/>
      <c r="Z54" s="2085"/>
      <c r="AA54" s="2085"/>
      <c r="AB54" s="2799"/>
      <c r="AC54" s="1004"/>
      <c r="AD54" s="1006"/>
      <c r="AE54" s="1107" t="s">
        <v>541</v>
      </c>
      <c r="AF54" s="2085"/>
      <c r="AG54" s="2085"/>
      <c r="AH54" s="2085"/>
      <c r="AI54" s="2085"/>
      <c r="AJ54" s="2085"/>
      <c r="AK54" s="2085"/>
      <c r="AL54" s="2085"/>
      <c r="AM54" s="2085"/>
      <c r="AN54" s="2085"/>
      <c r="AO54" s="2086" t="str">
        <f>AP51&amp;"-"&amp;AR51</f>
        <v>-</v>
      </c>
      <c r="AP54" s="2085"/>
      <c r="AQ54" s="2085"/>
      <c r="AR54" s="2085"/>
      <c r="AS54" s="2085"/>
      <c r="AT54" s="2041"/>
      <c r="AU54" s="2946"/>
      <c r="AW54" s="1192"/>
      <c r="AX54" s="1192" t="str">
        <f>IF(T54="","",T54)</f>
        <v/>
      </c>
      <c r="AY54" s="1192"/>
      <c r="AZ54" s="1192"/>
      <c r="BA54" s="1847">
        <v>11</v>
      </c>
    </row>
    <row customHeight="1" ht="11.549999999999999">
      <c r="A55" s="2055" t="s">
        <v>275</v>
      </c>
      <c r="B55" s="2055" t="s">
        <v>276</v>
      </c>
      <c r="C55" s="2055" t="s">
        <v>277</v>
      </c>
      <c r="D55" s="2055" t="s">
        <v>278</v>
      </c>
      <c r="E55" s="2951"/>
      <c r="F55" s="2951"/>
      <c r="G55" s="2951"/>
      <c r="H55" s="2951"/>
      <c r="I55" s="2978"/>
      <c r="J55" s="2948"/>
      <c r="K55" s="2055"/>
      <c r="L55" s="2056"/>
      <c r="P55" s="2949"/>
      <c r="Q55" s="2949"/>
      <c r="R55" s="1048"/>
      <c r="S55" s="1970"/>
      <c r="T55" s="979" t="s">
        <v>542</v>
      </c>
      <c r="U55" s="1059"/>
      <c r="V55" s="1059"/>
      <c r="W55" s="1059"/>
      <c r="X55" s="1059"/>
      <c r="Y55" s="1059"/>
      <c r="Z55" s="1059"/>
      <c r="AA55" s="1016"/>
      <c r="AB55" s="2197"/>
      <c r="AC55" s="1059"/>
      <c r="AD55" s="1059"/>
      <c r="AE55" s="1059"/>
      <c r="AF55" s="1059"/>
      <c r="AG55" s="1059"/>
      <c r="AH55" s="1059"/>
      <c r="AI55" s="1059"/>
      <c r="AJ55" s="1059"/>
      <c r="AK55" s="1059"/>
      <c r="AL55" s="1059"/>
      <c r="AM55" s="1059"/>
      <c r="AN55" s="1059"/>
      <c r="AO55" s="1059"/>
      <c r="AP55" s="1059"/>
      <c r="AQ55" s="1059"/>
      <c r="AR55" s="1059"/>
      <c r="AS55" s="1059"/>
      <c r="AT55" s="1016"/>
      <c r="AU55" s="2947"/>
      <c r="AW55" s="1192"/>
      <c r="AX55" s="1192" t="str">
        <f>IF(T55="","",T55)</f>
        <v>Добавить строку</v>
      </c>
      <c r="AY55" s="1192"/>
      <c r="AZ55" s="1192"/>
      <c r="BA55" s="1847">
        <v>11</v>
      </c>
    </row>
    <row s="61695" customFormat="1" customHeight="1" ht="1.05">
      <c r="A56" s="2035" t="s">
        <v>275</v>
      </c>
      <c r="B56" s="2035" t="s">
        <v>276</v>
      </c>
      <c r="C56" s="2035" t="s">
        <v>277</v>
      </c>
      <c r="D56" s="2035" t="s">
        <v>278</v>
      </c>
      <c r="E56" s="2951"/>
      <c r="F56" s="2951"/>
      <c r="G56" s="2951"/>
      <c r="H56" s="2951"/>
      <c r="I56" s="2948"/>
      <c r="J56" s="2035"/>
      <c r="K56" s="2035"/>
      <c r="L56" s="2038"/>
      <c r="M56" s="1202"/>
      <c r="N56" s="1202"/>
      <c r="O56" s="1202"/>
      <c r="P56" s="2949"/>
      <c r="Q56" s="2023"/>
      <c r="R56" s="1048"/>
      <c r="S56" s="2078"/>
      <c r="T56" s="2079" t="s">
        <v>487</v>
      </c>
      <c r="U56" s="2080"/>
      <c r="V56" s="2080"/>
      <c r="W56" s="2080"/>
      <c r="X56" s="2080"/>
      <c r="Y56" s="2080"/>
      <c r="Z56" s="2080"/>
      <c r="AA56" s="2080"/>
      <c r="AB56" s="2080"/>
      <c r="AC56" s="2080"/>
      <c r="AD56" s="2080"/>
      <c r="AE56" s="2080"/>
      <c r="AF56" s="2080"/>
      <c r="AG56" s="2080"/>
      <c r="AH56" s="2080"/>
      <c r="AI56" s="2080"/>
      <c r="AJ56" s="2080"/>
      <c r="AK56" s="2080"/>
      <c r="AL56" s="2080"/>
      <c r="AM56" s="2080"/>
      <c r="AN56" s="2080"/>
      <c r="AO56" s="2080"/>
      <c r="AP56" s="2080"/>
      <c r="AQ56" s="2080"/>
      <c r="AR56" s="2080"/>
      <c r="AS56" s="2080"/>
      <c r="AT56" s="2080"/>
      <c r="AU56" s="2081"/>
      <c r="AW56" s="1192"/>
      <c r="AX56" s="1192" t="str">
        <f>IF(T56="","",T56)</f>
        <v>Добавить группу потребителей</v>
      </c>
      <c r="AY56" s="1192"/>
      <c r="AZ56" s="1192"/>
      <c r="BA56" s="1203">
        <v>1</v>
      </c>
    </row>
    <row s="61193" customFormat="1" customHeight="1" ht="1.05">
      <c r="A57" s="2035" t="s">
        <v>275</v>
      </c>
      <c r="B57" s="2035" t="s">
        <v>276</v>
      </c>
      <c r="C57" s="2035" t="s">
        <v>277</v>
      </c>
      <c r="D57" s="2035" t="s">
        <v>278</v>
      </c>
      <c r="E57" s="2951"/>
      <c r="F57" s="2951"/>
      <c r="G57" s="2951"/>
      <c r="H57" s="2950"/>
      <c r="I57" s="2035"/>
      <c r="J57" s="2035"/>
      <c r="K57" s="2035"/>
      <c r="L57" s="2038"/>
      <c r="M57" s="2007"/>
      <c r="N57" s="2007"/>
      <c r="O57" s="1210"/>
      <c r="P57" s="1072"/>
      <c r="Q57" s="2036"/>
      <c r="R57" s="2092"/>
      <c r="S57" s="2078"/>
      <c r="T57" s="2079"/>
      <c r="U57" s="2080"/>
      <c r="V57" s="2080"/>
      <c r="W57" s="2080"/>
      <c r="X57" s="2080"/>
      <c r="Y57" s="2080"/>
      <c r="Z57" s="2080"/>
      <c r="AA57" s="2080"/>
      <c r="AB57" s="2080"/>
      <c r="AC57" s="2080"/>
      <c r="AD57" s="2080"/>
      <c r="AE57" s="2080"/>
      <c r="AF57" s="2080"/>
      <c r="AG57" s="2080"/>
      <c r="AH57" s="2080"/>
      <c r="AI57" s="2080"/>
      <c r="AJ57" s="2080"/>
      <c r="AK57" s="2080"/>
      <c r="AL57" s="2080"/>
      <c r="AM57" s="2080"/>
      <c r="AN57" s="2080"/>
      <c r="AO57" s="2080"/>
      <c r="AP57" s="2080"/>
      <c r="AQ57" s="2080"/>
      <c r="AR57" s="2080"/>
      <c r="AS57" s="2080"/>
      <c r="AT57" s="2080"/>
      <c r="AU57" s="2081"/>
      <c r="AV57" s="1203"/>
      <c r="AW57" s="1192"/>
      <c r="AX57" s="1192" t="str">
        <f>IF(T57="","",T57)</f>
        <v/>
      </c>
      <c r="AY57" s="1192"/>
      <c r="AZ57" s="1192"/>
      <c r="BA57" s="1188">
        <v>1</v>
      </c>
    </row>
    <row s="61695" customFormat="1" customHeight="1" ht="1.05">
      <c r="A58" s="2035" t="s">
        <v>275</v>
      </c>
      <c r="B58" s="2035" t="s">
        <v>276</v>
      </c>
      <c r="C58" s="2035" t="s">
        <v>277</v>
      </c>
      <c r="D58" s="2006"/>
      <c r="E58" s="2951"/>
      <c r="F58" s="2951"/>
      <c r="G58" s="2950"/>
      <c r="H58" s="2006"/>
      <c r="I58" s="2006"/>
      <c r="J58" s="2006"/>
      <c r="K58" s="2006"/>
      <c r="L58" s="2031"/>
      <c r="M58" s="2007"/>
      <c r="N58" s="2007"/>
      <c r="P58" s="2008"/>
      <c r="Q58" s="2009"/>
      <c r="R58" s="2008"/>
      <c r="S58" s="2014"/>
      <c r="T58" s="2017" t="s">
        <v>171</v>
      </c>
      <c r="U58" s="2016"/>
      <c r="V58" s="2016"/>
      <c r="W58" s="2016"/>
      <c r="X58" s="2016"/>
      <c r="Y58" s="2016"/>
      <c r="Z58" s="2016"/>
      <c r="AA58" s="2016"/>
      <c r="AB58" s="2016"/>
      <c r="AC58" s="2016"/>
      <c r="AD58" s="2016"/>
      <c r="AE58" s="2016"/>
      <c r="AF58" s="2016"/>
      <c r="AG58" s="2016"/>
      <c r="AH58" s="2016"/>
      <c r="AI58" s="2016"/>
      <c r="AJ58" s="2016"/>
      <c r="AK58" s="2016"/>
      <c r="AL58" s="2016"/>
      <c r="AM58" s="2016"/>
      <c r="AN58" s="2016"/>
      <c r="AO58" s="2016"/>
      <c r="AP58" s="2016"/>
      <c r="AQ58" s="2016"/>
      <c r="AR58" s="2016"/>
      <c r="AS58" s="2016"/>
      <c r="AT58" s="2016"/>
      <c r="AU58" s="2016"/>
      <c r="AW58" s="1481"/>
      <c r="AX58" s="1481" t="str">
        <f>IF(T58="","",T58)</f>
        <v>Добавить источник для дифференциации</v>
      </c>
      <c r="AY58" s="1481"/>
      <c r="AZ58" s="1481"/>
      <c r="BA58" s="1210">
        <v>1</v>
      </c>
    </row>
    <row s="61695" customFormat="1" customHeight="1" ht="1.05">
      <c r="A59" s="2035" t="s">
        <v>275</v>
      </c>
      <c r="B59" s="2035" t="s">
        <v>276</v>
      </c>
      <c r="C59" s="2006"/>
      <c r="D59" s="2006"/>
      <c r="E59" s="2951"/>
      <c r="F59" s="2950"/>
      <c r="G59" s="2006"/>
      <c r="H59" s="2006"/>
      <c r="I59" s="2006"/>
      <c r="J59" s="2006"/>
      <c r="K59" s="2006"/>
      <c r="L59" s="2031"/>
      <c r="M59" s="2013"/>
      <c r="N59" s="2013"/>
      <c r="P59" s="2008"/>
      <c r="Q59" s="2009"/>
      <c r="R59" s="2008"/>
      <c r="S59" s="2014"/>
      <c r="T59" s="2017" t="s">
        <v>172</v>
      </c>
      <c r="U59" s="2016"/>
      <c r="V59" s="2016"/>
      <c r="W59" s="2016"/>
      <c r="X59" s="2016"/>
      <c r="Y59" s="2016"/>
      <c r="Z59" s="2016"/>
      <c r="AA59" s="2016"/>
      <c r="AB59" s="2016"/>
      <c r="AC59" s="2016"/>
      <c r="AD59" s="2016"/>
      <c r="AE59" s="2016"/>
      <c r="AF59" s="2016"/>
      <c r="AG59" s="2016"/>
      <c r="AH59" s="2016"/>
      <c r="AI59" s="2016"/>
      <c r="AJ59" s="2016"/>
      <c r="AK59" s="2016"/>
      <c r="AL59" s="2016"/>
      <c r="AM59" s="2016"/>
      <c r="AN59" s="2016"/>
      <c r="AO59" s="2016"/>
      <c r="AP59" s="2016"/>
      <c r="AQ59" s="2016"/>
      <c r="AR59" s="2016"/>
      <c r="AS59" s="2016"/>
      <c r="AT59" s="2016"/>
      <c r="AU59" s="2016"/>
      <c r="AW59" s="1481"/>
      <c r="AX59" s="1481" t="str">
        <f>IF(T59="","",T59)</f>
        <v>Добавить централизованную систему для дифференциации</v>
      </c>
      <c r="AY59" s="1481"/>
      <c r="AZ59" s="1481"/>
      <c r="BA59" s="1210">
        <v>1</v>
      </c>
    </row>
    <row s="61695" customFormat="1" customHeight="1" ht="1.05">
      <c r="A60" s="2035" t="s">
        <v>275</v>
      </c>
      <c r="B60" s="2035"/>
      <c r="C60" s="2035"/>
      <c r="D60" s="2035"/>
      <c r="E60" s="2951"/>
      <c r="F60" s="2035"/>
      <c r="G60" s="2035"/>
      <c r="H60" s="2035"/>
      <c r="I60" s="2035"/>
      <c r="J60" s="2035"/>
      <c r="K60" s="2035"/>
      <c r="L60" s="2038"/>
      <c r="M60" s="2013"/>
      <c r="N60" s="2013"/>
      <c r="O60" s="1210"/>
      <c r="P60" s="1072"/>
      <c r="Q60" s="2036"/>
      <c r="R60" s="1072"/>
      <c r="S60" s="2014"/>
      <c r="T60" s="2017" t="s">
        <v>173</v>
      </c>
      <c r="U60" s="2016"/>
      <c r="V60" s="2016"/>
      <c r="W60" s="2016"/>
      <c r="X60" s="2016"/>
      <c r="Y60" s="2016"/>
      <c r="Z60" s="2016"/>
      <c r="AA60" s="2016"/>
      <c r="AB60" s="2016"/>
      <c r="AC60" s="2016"/>
      <c r="AD60" s="2016"/>
      <c r="AE60" s="2016"/>
      <c r="AF60" s="2016"/>
      <c r="AG60" s="2016"/>
      <c r="AH60" s="2016"/>
      <c r="AI60" s="2016"/>
      <c r="AJ60" s="2016"/>
      <c r="AK60" s="2016"/>
      <c r="AL60" s="2016"/>
      <c r="AM60" s="2016"/>
      <c r="AN60" s="2016"/>
      <c r="AO60" s="2016"/>
      <c r="AP60" s="2016"/>
      <c r="AQ60" s="2016"/>
      <c r="AR60" s="2016"/>
      <c r="AS60" s="2016"/>
      <c r="AT60" s="2016"/>
      <c r="AU60" s="2016"/>
      <c r="AW60" s="1192"/>
      <c r="AX60" s="1192" t="str">
        <f>IF(T60="","",T60)</f>
        <v>Добавить территорию для дифференциации</v>
      </c>
      <c r="AY60" s="1192"/>
      <c r="AZ60" s="1192"/>
      <c r="BA60" s="1203">
        <v>1</v>
      </c>
    </row>
    <row s="61695" customFormat="1" customHeight="1" ht="1.05">
      <c r="A61" s="2035" t="s">
        <v>275</v>
      </c>
      <c r="B61" s="2035"/>
      <c r="C61" s="2035"/>
      <c r="D61" s="2035"/>
      <c r="E61" s="2950"/>
      <c r="F61" s="2035"/>
      <c r="G61" s="2035"/>
      <c r="H61" s="2035"/>
      <c r="I61" s="2035"/>
      <c r="J61" s="2035"/>
      <c r="K61" s="2035"/>
      <c r="L61" s="2038"/>
      <c r="M61" s="2013"/>
      <c r="N61" s="2013"/>
      <c r="O61" s="1210"/>
      <c r="P61" s="1072"/>
      <c r="Q61" s="2036"/>
      <c r="R61" s="1072"/>
      <c r="S61" s="2014"/>
      <c r="T61" s="2017" t="s">
        <v>173</v>
      </c>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c r="AS61" s="2016"/>
      <c r="AT61" s="2016"/>
      <c r="AU61" s="2016"/>
      <c r="AW61" s="1192"/>
      <c r="AX61" s="1192" t="str">
        <f>IF(T61="","",T61)</f>
        <v>Добавить территорию для дифференциации</v>
      </c>
      <c r="AY61" s="1192"/>
      <c r="AZ61" s="1192"/>
      <c r="BA61" s="1203">
        <v>1</v>
      </c>
    </row>
    <row s="61695" customFormat="1" customHeight="1" ht="1.05">
      <c r="A62" s="2006"/>
      <c r="B62" s="2006"/>
      <c r="C62" s="2006"/>
      <c r="D62" s="2006"/>
      <c r="E62" s="2035"/>
      <c r="F62" s="2006"/>
      <c r="G62" s="2006"/>
      <c r="H62" s="2006"/>
      <c r="I62" s="2006"/>
      <c r="J62" s="2006"/>
      <c r="K62" s="2006"/>
      <c r="L62" s="2031"/>
      <c r="M62" s="2013"/>
      <c r="N62" s="2013"/>
      <c r="P62" s="2008"/>
      <c r="Q62" s="2009"/>
      <c r="R62" s="2008"/>
      <c r="S62" s="2014"/>
      <c r="T62" s="2017" t="s">
        <v>186</v>
      </c>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c r="AS62" s="2016"/>
      <c r="AT62" s="2016"/>
      <c r="AU62" s="2016"/>
      <c r="AW62" s="1481"/>
      <c r="AX62" s="1481" t="str">
        <f>IF(T62="","",T62)</f>
        <v>Добавить наименование тарифа</v>
      </c>
      <c r="AY62" s="1481"/>
      <c r="AZ62" s="1481"/>
      <c r="BA62" s="1210">
        <v>1</v>
      </c>
    </row>
    <row customHeight="1" ht="11.549999999999999">
      <c r="M63" s="1852"/>
      <c r="N63" s="1852"/>
      <c r="O63" s="1229"/>
      <c r="P63" s="1852"/>
      <c r="Q63" s="1852"/>
      <c r="R63" s="1847"/>
      <c r="S63" s="1847"/>
      <c r="AV63" s="1847"/>
      <c r="AW63" s="1847"/>
      <c r="AX63" s="1847"/>
      <c r="AY63" s="1847"/>
      <c r="AZ63" s="1847"/>
      <c r="BA63" s="1847">
        <v>11</v>
      </c>
    </row>
    <row customHeight="1" ht="19.95">
      <c r="O64" s="1229"/>
      <c r="S64" s="1945"/>
      <c r="T64" s="2977"/>
      <c r="U64" s="2977"/>
      <c r="V64" s="2977"/>
      <c r="W64" s="2977"/>
      <c r="X64" s="2977"/>
      <c r="Y64" s="2977"/>
      <c r="Z64" s="2977"/>
      <c r="AA64" s="2977"/>
      <c r="AB64" s="2977"/>
      <c r="AC64" s="2977"/>
      <c r="AD64" s="2977"/>
      <c r="AE64" s="2977"/>
      <c r="AF64" s="2977"/>
      <c r="AG64" s="2977"/>
      <c r="AH64" s="2977"/>
      <c r="AI64" s="2977"/>
      <c r="AJ64" s="2977"/>
      <c r="AK64" s="2977"/>
      <c r="AL64" s="2977"/>
      <c r="AM64" s="2977"/>
      <c r="AN64" s="2977"/>
      <c r="AO64" s="2977"/>
      <c r="AP64" s="2977"/>
      <c r="AQ64" s="2977"/>
      <c r="AR64" s="2977"/>
      <c r="AS64" s="2977"/>
      <c r="AT64" s="2977"/>
      <c r="AU64" s="2977"/>
      <c r="BA64" s="1847">
        <v>19</v>
      </c>
    </row>
    <row customHeight="1" ht="21">
      <c r="O65" s="1229"/>
      <c r="T65" s="2977"/>
      <c r="U65" s="2977"/>
      <c r="V65" s="2977"/>
      <c r="W65" s="2977"/>
      <c r="X65" s="2977"/>
      <c r="Y65" s="2977"/>
      <c r="Z65" s="2977"/>
      <c r="AA65" s="2977"/>
      <c r="AB65" s="2977"/>
      <c r="AC65" s="2977"/>
      <c r="AD65" s="2977"/>
      <c r="AE65" s="2977"/>
      <c r="AF65" s="2977"/>
      <c r="AG65" s="2977"/>
      <c r="AH65" s="2977"/>
      <c r="AI65" s="2977"/>
      <c r="AJ65" s="2977"/>
      <c r="AK65" s="2977"/>
      <c r="AL65" s="2977"/>
      <c r="AM65" s="2977"/>
      <c r="AN65" s="2977"/>
      <c r="AO65" s="2977"/>
      <c r="AP65" s="2977"/>
      <c r="AQ65" s="2977"/>
      <c r="AR65" s="2977"/>
      <c r="AS65" s="2977"/>
      <c r="AT65" s="2977"/>
      <c r="AU65" s="2977"/>
      <c r="BA65" s="1847">
        <v>20</v>
      </c>
    </row>
    <row customHeight="1" ht="14.699999999999998">
      <c r="O66" s="1229"/>
      <c r="T66" s="2025"/>
      <c r="U66" s="2025"/>
      <c r="V66" s="2025"/>
      <c r="W66" s="2025"/>
      <c r="X66" s="2025"/>
      <c r="Y66" s="2025"/>
      <c r="Z66" s="2025"/>
      <c r="AA66" s="2025"/>
      <c r="AB66" s="2025"/>
      <c r="AC66" s="2025"/>
      <c r="AD66" s="2025"/>
      <c r="AE66" s="2025"/>
      <c r="AF66" s="2025"/>
      <c r="AG66" s="2025"/>
      <c r="AH66" s="2025"/>
      <c r="AI66" s="2025"/>
      <c r="AJ66" s="2025"/>
      <c r="AK66" s="2025"/>
      <c r="AL66" s="2025"/>
      <c r="AM66" s="2025"/>
      <c r="AN66" s="2025"/>
      <c r="AO66" s="2025"/>
      <c r="AP66" s="2025"/>
      <c r="AQ66" s="2025"/>
      <c r="AR66" s="2025"/>
      <c r="AS66" s="2025"/>
      <c r="AT66" s="2025"/>
      <c r="AU66" s="2025"/>
      <c r="BA66" s="1847">
        <v>14</v>
      </c>
    </row>
    <row customHeight="1" ht="19.95">
      <c r="O67" s="1229"/>
      <c r="T67" s="2977"/>
      <c r="U67" s="2977"/>
      <c r="V67" s="2977"/>
      <c r="W67" s="2977"/>
      <c r="X67" s="2977"/>
      <c r="Y67" s="2977"/>
      <c r="Z67" s="2977"/>
      <c r="AA67" s="2977"/>
      <c r="AB67" s="2977"/>
      <c r="AC67" s="2977"/>
      <c r="AD67" s="2977"/>
      <c r="AE67" s="2977"/>
      <c r="AF67" s="2977"/>
      <c r="AG67" s="2977"/>
      <c r="AH67" s="2977"/>
      <c r="AI67" s="2977"/>
      <c r="AJ67" s="2977"/>
      <c r="AK67" s="2977"/>
      <c r="AL67" s="2977"/>
      <c r="AM67" s="2977"/>
      <c r="AN67" s="2977"/>
      <c r="AO67" s="2977"/>
      <c r="AP67" s="2977"/>
      <c r="AQ67" s="2977"/>
      <c r="AR67" s="2977"/>
      <c r="AS67" s="2977"/>
      <c r="AT67" s="2977"/>
      <c r="AU67" s="2977"/>
      <c r="BA67" s="1847">
        <v>19</v>
      </c>
    </row>
    <row customHeight="1" ht="16.8">
      <c r="O68" s="1229"/>
      <c r="T68" s="2977"/>
      <c r="U68" s="2977"/>
      <c r="V68" s="2977"/>
      <c r="W68" s="2977"/>
      <c r="X68" s="2977"/>
      <c r="Y68" s="2977"/>
      <c r="Z68" s="2977"/>
      <c r="AA68" s="2977"/>
      <c r="AB68" s="2977"/>
      <c r="AC68" s="2977"/>
      <c r="AD68" s="2977"/>
      <c r="AE68" s="2977"/>
      <c r="AF68" s="2977"/>
      <c r="AG68" s="2977"/>
      <c r="AH68" s="2977"/>
      <c r="AI68" s="2977"/>
      <c r="AJ68" s="2977"/>
      <c r="AK68" s="2977"/>
      <c r="AL68" s="2977"/>
      <c r="AM68" s="2977"/>
      <c r="AN68" s="2977"/>
      <c r="AO68" s="2977"/>
      <c r="AP68" s="2977"/>
      <c r="AQ68" s="2977"/>
      <c r="AR68" s="2977"/>
      <c r="AS68" s="2977"/>
      <c r="AT68" s="2977"/>
      <c r="AU68" s="2977"/>
      <c r="BA68" s="1847">
        <v>16</v>
      </c>
    </row>
    <row customHeight="1" ht="14.699999999999998">
      <c r="O69" s="1229"/>
      <c r="BA69" s="1847">
        <v>14</v>
      </c>
    </row>
    <row customHeight="1" ht="22.5" hidden="1">
      <c r="A70" s="1852" t="s">
        <v>83</v>
      </c>
      <c r="B70" s="1852">
        <v>0</v>
      </c>
      <c r="C70" s="1852">
        <v>0</v>
      </c>
      <c r="D70" s="1852">
        <v>0</v>
      </c>
      <c r="E70" s="1852">
        <v>0</v>
      </c>
      <c r="F70" s="1852">
        <v>0</v>
      </c>
      <c r="G70" s="1852">
        <v>0</v>
      </c>
      <c r="H70" s="1852">
        <v>0</v>
      </c>
      <c r="I70" s="1852">
        <v>0</v>
      </c>
      <c r="J70" s="1852">
        <v>0</v>
      </c>
      <c r="K70" s="1852">
        <v>0</v>
      </c>
      <c r="L70" s="2021">
        <v>0</v>
      </c>
      <c r="M70" s="2054">
        <v>0</v>
      </c>
      <c r="N70" s="2054">
        <v>0</v>
      </c>
      <c r="O70" s="2054">
        <v>0</v>
      </c>
      <c r="P70" s="2054">
        <v>3</v>
      </c>
      <c r="Q70" s="2063">
        <v>3</v>
      </c>
      <c r="R70" s="1036">
        <v>3</v>
      </c>
      <c r="S70" s="1273">
        <v>12</v>
      </c>
      <c r="T70" s="1847">
        <v>31</v>
      </c>
      <c r="U70" s="1847">
        <v>0</v>
      </c>
      <c r="V70" s="1847">
        <v>0</v>
      </c>
      <c r="W70" s="1847">
        <v>0</v>
      </c>
      <c r="X70" s="1847">
        <v>0</v>
      </c>
      <c r="Y70" s="1847">
        <v>0</v>
      </c>
      <c r="Z70" s="1847">
        <v>0</v>
      </c>
      <c r="AA70" s="1847">
        <v>0</v>
      </c>
      <c r="AB70" s="1847">
        <v>5</v>
      </c>
      <c r="AC70" s="1847">
        <v>3</v>
      </c>
      <c r="AD70" s="1847">
        <v>3</v>
      </c>
      <c r="AE70" s="1847">
        <v>24</v>
      </c>
      <c r="AF70" s="1847">
        <v>3</v>
      </c>
      <c r="AG70" s="1847">
        <v>3</v>
      </c>
      <c r="AH70" s="1847">
        <v>3</v>
      </c>
      <c r="AI70" s="1847">
        <v>24</v>
      </c>
      <c r="AJ70" s="1847">
        <v>3</v>
      </c>
      <c r="AK70" s="1847">
        <v>3</v>
      </c>
      <c r="AL70" s="1847">
        <v>3</v>
      </c>
      <c r="AM70" s="1847">
        <v>18</v>
      </c>
      <c r="AN70" s="1847">
        <v>21</v>
      </c>
      <c r="AO70" s="1847">
        <v>21</v>
      </c>
      <c r="AP70" s="1847">
        <v>11</v>
      </c>
      <c r="AQ70" s="1847">
        <v>3</v>
      </c>
      <c r="AR70" s="1847">
        <v>11</v>
      </c>
      <c r="AS70" s="1847">
        <v>8</v>
      </c>
      <c r="AT70" s="1847">
        <v>4</v>
      </c>
      <c r="AU70" s="1847">
        <v>115</v>
      </c>
      <c r="AV70" s="1203">
        <v>10</v>
      </c>
      <c r="AW70" s="1203">
        <v>10</v>
      </c>
      <c r="AX70" s="1203">
        <v>10</v>
      </c>
      <c r="AY70" s="1203">
        <v>10</v>
      </c>
      <c r="AZ70" s="1203">
        <v>10</v>
      </c>
      <c r="BA70" s="1847">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B50B5F-5936-6A2B-4522-9AABD6ED407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4.140625" hidden="1" customWidth="1"/>
    <col min="10" max="10" style="62148" width="9.8515625" hidden="1" customWidth="1"/>
    <col min="11" max="11" style="62148" width="14.7109375" hidden="1" customWidth="1"/>
    <col min="12" max="12" style="63164" width="19.140625" hidden="1" customWidth="1"/>
    <col min="13" max="14" style="61371" width="12.28125" hidden="1" customWidth="1"/>
    <col min="15" max="15" style="61371" width="23.421875" hidden="1" customWidth="1"/>
    <col min="16" max="16" style="63184" width="3.00390625" customWidth="1"/>
    <col min="17" max="18" style="62288" width="3.00390625" customWidth="1"/>
    <col min="19" max="19" style="63156" width="12.00390625" customWidth="1"/>
    <col min="20" max="20" style="62286" width="35.00390625" customWidth="1"/>
    <col min="21" max="21" style="62286" width="0.140625" customWidth="1"/>
    <col min="22" max="24" style="62286" width="24.7109375" hidden="1" customWidth="1"/>
    <col min="25" max="25" style="62286" width="11.7109375" hidden="1" customWidth="1"/>
    <col min="26" max="26" style="62286" width="3.7109375" hidden="1" customWidth="1"/>
    <col min="27" max="27" style="62286" width="11.7109375" hidden="1" customWidth="1"/>
    <col min="28" max="28" style="62286" width="8.57421875" hidden="1" customWidth="1"/>
    <col min="29" max="29" style="62286" width="24.7109375" customWidth="1"/>
    <col min="30" max="31" style="62286" width="24.00390625" customWidth="1"/>
    <col min="32" max="32" style="62286" width="11.00390625" customWidth="1"/>
    <col min="33" max="33" style="62286" width="3.7109375" customWidth="1"/>
    <col min="34" max="34" style="62286" width="11.00390625" customWidth="1"/>
    <col min="35" max="35" style="62286" width="8.57421875" hidden="1" customWidth="1"/>
    <col min="36" max="36" style="62286" width="4.00390625" customWidth="1"/>
    <col min="37" max="37" style="62286" width="115.00390625" customWidth="1"/>
    <col min="38" max="42" style="61695" width="10.00390625" customWidth="1"/>
    <col min="43" max="43" style="62286" width="10.57421875" hidden="1"/>
  </cols>
  <sheetData>
    <row customHeight="1" ht="22.5" hidden="1">
      <c r="X1" s="1019"/>
      <c r="Y1" s="1019"/>
      <c r="AE1" s="1019"/>
      <c r="AF1" s="1019"/>
      <c r="AQ1" s="1847" t="s">
        <v>14</v>
      </c>
    </row>
    <row customHeight="1" ht="23.25" hidden="1">
      <c r="A2" s="2055"/>
      <c r="B2" s="2055"/>
      <c r="C2" s="2055"/>
      <c r="D2" s="2055"/>
      <c r="E2" s="2950">
        <v>1</v>
      </c>
      <c r="F2" s="2055"/>
      <c r="G2" s="2055"/>
      <c r="H2" s="2055"/>
      <c r="I2" s="2055"/>
      <c r="J2" s="2055"/>
      <c r="K2" s="2055"/>
      <c r="L2" s="2056"/>
      <c r="M2" s="2057"/>
      <c r="N2" s="2057"/>
      <c r="O2" s="2057"/>
      <c r="P2" s="1053"/>
      <c r="Q2" s="1052"/>
      <c r="R2" s="1047"/>
      <c r="S2" s="2117">
        <f>INDEX(PT_DIFFERENTIATION_NUM_NTAR,MATCH(A2,PT_DIFFERENTIATION_NTAR_ID,0))</f>
      </c>
      <c r="T2" s="990" t="s">
        <v>131</v>
      </c>
      <c r="U2" s="992"/>
      <c r="V2" s="2934"/>
      <c r="W2" s="2935"/>
      <c r="X2" s="2935"/>
      <c r="Y2" s="2935"/>
      <c r="Z2" s="2935"/>
      <c r="AA2" s="2935"/>
      <c r="AB2" s="2936"/>
      <c r="AC2" s="2934">
        <f>INDEX(PT_DIFFERENTIATION_NTAR,MATCH(A2,PT_DIFFERENTIATION_NTAR_ID,0))</f>
      </c>
      <c r="AD2" s="2935"/>
      <c r="AE2" s="2935"/>
      <c r="AF2" s="2935"/>
      <c r="AG2" s="2935"/>
      <c r="AH2" s="2935"/>
      <c r="AI2" s="2935"/>
      <c r="AJ2" s="2936"/>
      <c r="AK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92"/>
      <c r="AN2" s="1192" t="str">
        <f>IF(T2="","",T2)</f>
        <v>Наименование тарифа</v>
      </c>
      <c r="AO2" s="1192"/>
      <c r="AP2" s="1192"/>
      <c r="AQ2" s="1847">
        <v>0</v>
      </c>
    </row>
    <row customHeight="1" ht="23.25" hidden="1">
      <c r="A3" s="2055"/>
      <c r="B3" s="2055"/>
      <c r="C3" s="2055"/>
      <c r="D3" s="2055"/>
      <c r="E3" s="2951"/>
      <c r="F3" s="2950">
        <v>1</v>
      </c>
      <c r="G3" s="2055"/>
      <c r="H3" s="2055"/>
      <c r="I3" s="2055"/>
      <c r="J3" s="2055"/>
      <c r="K3" s="2055"/>
      <c r="L3" s="2056"/>
      <c r="M3" s="2057"/>
      <c r="N3" s="2057"/>
      <c r="O3" s="2057"/>
      <c r="P3" s="2115"/>
      <c r="Q3" s="1044"/>
      <c r="R3" s="1045"/>
      <c r="S3" s="2117">
        <f>INDEX(PT_DIFFERENTIATION_NUM_TER,MATCH(B3,PT_DIFFERENTIATION_TER_ID,0))</f>
      </c>
      <c r="T3" s="1000" t="s">
        <v>472</v>
      </c>
      <c r="U3" s="992"/>
      <c r="V3" s="2934"/>
      <c r="W3" s="2935"/>
      <c r="X3" s="2935"/>
      <c r="Y3" s="2935"/>
      <c r="Z3" s="2935"/>
      <c r="AA3" s="2935"/>
      <c r="AB3" s="2936"/>
      <c r="AC3" s="2934">
        <f>INDEX(PT_DIFFERENTIATION_TER,MATCH(B3,PT_DIFFERENTIATION_TER_ID,0))</f>
      </c>
      <c r="AD3" s="2935"/>
      <c r="AE3" s="2935"/>
      <c r="AF3" s="2935"/>
      <c r="AG3" s="2935"/>
      <c r="AH3" s="2935"/>
      <c r="AI3" s="2935"/>
      <c r="AJ3" s="2936"/>
      <c r="AK3" s="1950" t="s">
        <v>473</v>
      </c>
      <c r="AM3" s="1192"/>
      <c r="AN3" s="1192" t="str">
        <f>IF(T3="","",T3)</f>
        <v>Территория действия тарифа</v>
      </c>
      <c r="AO3" s="1192"/>
      <c r="AP3" s="1192"/>
      <c r="AQ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117">
        <f>INDEX(PT_DIFFERENTIATION_NUM_CS,MATCH(C4,PT_DIFFERENTIATION_CS_ID,0))</f>
      </c>
      <c r="T4" s="1001" t="s">
        <v>555</v>
      </c>
      <c r="U4" s="992"/>
      <c r="V4" s="2934"/>
      <c r="W4" s="2935"/>
      <c r="X4" s="2935"/>
      <c r="Y4" s="2935"/>
      <c r="Z4" s="2935"/>
      <c r="AA4" s="2935"/>
      <c r="AB4" s="2936"/>
      <c r="AC4" s="2934">
        <f>INDEX(PT_DIFFERENTIATION_CS,MATCH(C4,PT_DIFFERENTIATION_CS_ID,0))</f>
      </c>
      <c r="AD4" s="2935"/>
      <c r="AE4" s="2935"/>
      <c r="AF4" s="2935"/>
      <c r="AG4" s="2935"/>
      <c r="AH4" s="2935"/>
      <c r="AI4" s="2935"/>
      <c r="AJ4" s="2936"/>
      <c r="AK4" s="1950" t="s">
        <v>556</v>
      </c>
      <c r="AM4" s="1192"/>
      <c r="AN4" s="1192" t="str">
        <f>IF(T4="","",T4)</f>
        <v>Наименование централизованной системы холодного водоснабжения</v>
      </c>
      <c r="AO4" s="1192"/>
      <c r="AP4" s="1192"/>
      <c r="AQ4" s="1847">
        <v>0</v>
      </c>
    </row>
    <row customHeight="1" ht="23.25" hidden="1">
      <c r="A5" s="2055"/>
      <c r="B5" s="2055"/>
      <c r="C5" s="2055"/>
      <c r="D5" s="2055"/>
      <c r="E5" s="2951"/>
      <c r="F5" s="2951"/>
      <c r="G5" s="2951"/>
      <c r="H5" s="2951"/>
      <c r="I5" s="2948">
        <f>S4&amp;".1"</f>
      </c>
      <c r="J5" s="2055"/>
      <c r="K5" s="2055"/>
      <c r="L5" s="2056"/>
      <c r="P5" s="2949">
        <v>1</v>
      </c>
      <c r="Q5" s="2114"/>
      <c r="R5" s="1048"/>
      <c r="S5" s="2117">
        <f>$I5</f>
      </c>
      <c r="T5" s="977" t="s">
        <v>557</v>
      </c>
      <c r="U5" s="992"/>
      <c r="V5" s="3042"/>
      <c r="W5" s="3043"/>
      <c r="X5" s="3043"/>
      <c r="Y5" s="3043"/>
      <c r="Z5" s="3043"/>
      <c r="AA5" s="3043"/>
      <c r="AB5" s="3044"/>
      <c r="AC5" s="3045"/>
      <c r="AD5" s="3046"/>
      <c r="AE5" s="3046"/>
      <c r="AF5" s="3046"/>
      <c r="AG5" s="3046"/>
      <c r="AH5" s="3046"/>
      <c r="AI5" s="3046"/>
      <c r="AJ5" s="3047"/>
      <c r="AK5" s="1950" t="s">
        <v>558</v>
      </c>
      <c r="AM5" s="1192"/>
      <c r="AN5" s="1192" t="str">
        <f>IF(T5="","",T5)</f>
        <v>Наименование признака дифференциации</v>
      </c>
      <c r="AO5" s="1192"/>
      <c r="AP5" s="1192"/>
      <c r="AQ5" s="1847">
        <v>0</v>
      </c>
    </row>
    <row customHeight="1" ht="23.25" hidden="1">
      <c r="A6" s="2055"/>
      <c r="B6" s="2055"/>
      <c r="C6" s="2055"/>
      <c r="D6" s="2055"/>
      <c r="E6" s="2951"/>
      <c r="F6" s="2951"/>
      <c r="G6" s="2951"/>
      <c r="H6" s="2951"/>
      <c r="I6" s="2978"/>
      <c r="J6" s="2948">
        <f>I5&amp;".1"</f>
      </c>
      <c r="K6" s="2055"/>
      <c r="L6" s="2056" t="s">
        <v>481</v>
      </c>
      <c r="P6" s="2949"/>
      <c r="Q6" s="2949">
        <v>1</v>
      </c>
      <c r="R6" s="1049"/>
      <c r="S6" s="2117">
        <f>$J6</f>
      </c>
      <c r="T6" s="978" t="s">
        <v>482</v>
      </c>
      <c r="U6" s="992"/>
      <c r="V6" s="2937"/>
      <c r="W6" s="2938"/>
      <c r="X6" s="2938"/>
      <c r="Y6" s="2938"/>
      <c r="Z6" s="2938"/>
      <c r="AA6" s="2938"/>
      <c r="AB6" s="2939"/>
      <c r="AC6" s="2937"/>
      <c r="AD6" s="2938"/>
      <c r="AE6" s="2938"/>
      <c r="AF6" s="2938"/>
      <c r="AG6" s="2938"/>
      <c r="AH6" s="2938"/>
      <c r="AI6" s="2938"/>
      <c r="AJ6" s="2939"/>
      <c r="AK6" s="1999" t="s">
        <v>559</v>
      </c>
      <c r="AM6" s="1192"/>
      <c r="AN6" s="1192" t="str">
        <f>IF(T6="","",T6)</f>
        <v>Группа потребителей</v>
      </c>
      <c r="AO6" s="1192"/>
      <c r="AP6" s="1192"/>
      <c r="AQ6" s="1847">
        <v>0</v>
      </c>
    </row>
    <row customHeight="1" ht="23.25" hidden="1">
      <c r="A7" s="2055"/>
      <c r="B7" s="2055"/>
      <c r="C7" s="2055"/>
      <c r="D7" s="2055"/>
      <c r="E7" s="2951"/>
      <c r="F7" s="2951"/>
      <c r="G7" s="2951"/>
      <c r="H7" s="2951"/>
      <c r="I7" s="2978"/>
      <c r="J7" s="2978"/>
      <c r="K7" s="2948">
        <f>J6&amp;".1"</f>
      </c>
      <c r="L7" s="2056"/>
      <c r="P7" s="2949"/>
      <c r="Q7" s="2949"/>
      <c r="R7" s="1049">
        <v>1</v>
      </c>
      <c r="S7" s="2117">
        <f>$K7</f>
      </c>
      <c r="T7" s="2129"/>
      <c r="U7" s="992"/>
      <c r="V7" s="1443"/>
      <c r="W7" s="1443"/>
      <c r="X7" s="1949"/>
      <c r="Y7" s="2957"/>
      <c r="Z7" s="2799" t="s">
        <v>67</v>
      </c>
      <c r="AA7" s="2957"/>
      <c r="AB7" s="2799" t="s">
        <v>67</v>
      </c>
      <c r="AC7" s="1443"/>
      <c r="AD7" s="1443"/>
      <c r="AE7" s="1949"/>
      <c r="AF7" s="2957"/>
      <c r="AG7" s="2799" t="s">
        <v>67</v>
      </c>
      <c r="AH7" s="2979"/>
      <c r="AI7" s="2799" t="s">
        <v>67</v>
      </c>
      <c r="AJ7" s="2130"/>
      <c r="AK7"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03">
        <f>STRCHECKDATE(V8:AJ8)</f>
      </c>
      <c r="AM7" s="1192"/>
      <c r="AN7" s="1192" t="str">
        <f>IF(T7="","",T7)</f>
        <v/>
      </c>
      <c r="AO7" s="1192"/>
      <c r="AP7" s="1192"/>
      <c r="AQ7" s="1847">
        <v>0</v>
      </c>
    </row>
    <row customHeight="1" ht="14.25" hidden="1">
      <c r="A8" s="2055"/>
      <c r="B8" s="2055"/>
      <c r="C8" s="2055"/>
      <c r="D8" s="2055"/>
      <c r="E8" s="2951"/>
      <c r="F8" s="2951"/>
      <c r="G8" s="2951"/>
      <c r="H8" s="2951"/>
      <c r="I8" s="2978"/>
      <c r="J8" s="2978"/>
      <c r="K8" s="2948"/>
      <c r="L8" s="2056"/>
      <c r="P8" s="2949"/>
      <c r="Q8" s="2949"/>
      <c r="R8" s="1049"/>
      <c r="S8" s="2116"/>
      <c r="T8" s="992"/>
      <c r="U8" s="992"/>
      <c r="V8" s="1017"/>
      <c r="W8" s="1017"/>
      <c r="X8" s="1020" t="str">
        <f>Y7&amp;"-"&amp;AA7</f>
        <v>-</v>
      </c>
      <c r="Y8" s="2958"/>
      <c r="Z8" s="2799"/>
      <c r="AA8" s="2958"/>
      <c r="AB8" s="2799"/>
      <c r="AC8" s="1017"/>
      <c r="AD8" s="1017"/>
      <c r="AE8" s="1020" t="str">
        <f>AF7&amp;"-"&amp;AH7</f>
        <v>-</v>
      </c>
      <c r="AF8" s="2958"/>
      <c r="AG8" s="2799"/>
      <c r="AH8" s="2980"/>
      <c r="AI8" s="2799"/>
      <c r="AJ8" s="2131"/>
      <c r="AK8" s="3041"/>
      <c r="AM8" s="1192"/>
      <c r="AN8" s="1192" t="str">
        <f>IF(T8="","",T8)</f>
        <v/>
      </c>
      <c r="AO8" s="1192"/>
      <c r="AP8" s="1192"/>
      <c r="AQ8" s="1847">
        <v>0</v>
      </c>
    </row>
    <row customHeight="1" ht="21" hidden="1">
      <c r="A9" s="2055"/>
      <c r="B9" s="2055"/>
      <c r="C9" s="2055"/>
      <c r="D9" s="2055"/>
      <c r="E9" s="2951"/>
      <c r="F9" s="2951"/>
      <c r="G9" s="2951"/>
      <c r="H9" s="2951"/>
      <c r="I9" s="2978"/>
      <c r="J9" s="2948"/>
      <c r="K9" s="2055"/>
      <c r="L9" s="2056"/>
      <c r="P9" s="2949"/>
      <c r="Q9" s="2949"/>
      <c r="R9" s="1048"/>
      <c r="S9" s="1970"/>
      <c r="T9" s="979" t="s">
        <v>560</v>
      </c>
      <c r="U9" s="1059"/>
      <c r="V9" s="1059"/>
      <c r="W9" s="1059"/>
      <c r="X9" s="1059"/>
      <c r="Y9" s="1059"/>
      <c r="Z9" s="1059"/>
      <c r="AA9" s="1059"/>
      <c r="AB9" s="1059"/>
      <c r="AC9" s="1059"/>
      <c r="AD9" s="1059"/>
      <c r="AE9" s="1059"/>
      <c r="AF9" s="1059"/>
      <c r="AG9" s="1059"/>
      <c r="AH9" s="1059"/>
      <c r="AI9" s="1059"/>
      <c r="AJ9" s="1059"/>
      <c r="AK9" s="1950" t="s">
        <v>561</v>
      </c>
      <c r="AM9" s="1192"/>
      <c r="AN9" s="1192" t="str">
        <f>IF(T9="","",T9)</f>
        <v>Добавить значение признака дифференциации</v>
      </c>
      <c r="AO9" s="1192"/>
      <c r="AP9" s="1192"/>
      <c r="AQ9" s="1847">
        <v>0</v>
      </c>
    </row>
    <row customHeight="1" ht="21" hidden="1">
      <c r="A10" s="2055"/>
      <c r="B10" s="2055"/>
      <c r="C10" s="2055"/>
      <c r="D10" s="2055"/>
      <c r="E10" s="2951"/>
      <c r="F10" s="2951"/>
      <c r="G10" s="2951"/>
      <c r="H10" s="2951"/>
      <c r="I10" s="2948"/>
      <c r="J10" s="2055"/>
      <c r="K10" s="2055"/>
      <c r="L10" s="2056"/>
      <c r="P10" s="2949"/>
      <c r="Q10" s="2114"/>
      <c r="R10" s="1048"/>
      <c r="S10" s="1970"/>
      <c r="T10" s="1057" t="s">
        <v>487</v>
      </c>
      <c r="U10" s="1059"/>
      <c r="V10" s="1059"/>
      <c r="W10" s="1059"/>
      <c r="X10" s="1059"/>
      <c r="Y10" s="1059"/>
      <c r="Z10" s="1059"/>
      <c r="AA10" s="1059"/>
      <c r="AB10" s="1058"/>
      <c r="AC10" s="1059"/>
      <c r="AD10" s="1059"/>
      <c r="AE10" s="1059"/>
      <c r="AF10" s="1059"/>
      <c r="AG10" s="1059"/>
      <c r="AH10" s="1059"/>
      <c r="AI10" s="1058"/>
      <c r="AJ10" s="1059"/>
      <c r="AK10" s="2132"/>
      <c r="AM10" s="1192"/>
      <c r="AN10" s="1192" t="str">
        <f>IF(T10="","",T10)</f>
        <v>Добавить группу потребителей</v>
      </c>
      <c r="AO10" s="1192"/>
      <c r="AP10" s="1192"/>
      <c r="AQ10" s="1847">
        <v>0</v>
      </c>
    </row>
    <row customHeight="1" ht="14.25" hidden="1">
      <c r="A11" s="2055"/>
      <c r="B11" s="2055"/>
      <c r="C11" s="2055"/>
      <c r="D11" s="2055"/>
      <c r="E11" s="2951"/>
      <c r="F11" s="2951"/>
      <c r="G11" s="2951"/>
      <c r="H11" s="2950"/>
      <c r="I11" s="2055"/>
      <c r="J11" s="2055"/>
      <c r="K11" s="2055"/>
      <c r="L11" s="2056"/>
      <c r="M11" s="2057"/>
      <c r="N11" s="2057"/>
      <c r="O11" s="1229"/>
      <c r="P11" s="1052"/>
      <c r="Q11" s="1067"/>
      <c r="R11" s="1047"/>
      <c r="S11" s="1970"/>
      <c r="T11" s="1064" t="s">
        <v>562</v>
      </c>
      <c r="U11" s="1059"/>
      <c r="V11" s="1059"/>
      <c r="W11" s="1059"/>
      <c r="X11" s="1059"/>
      <c r="Y11" s="1059"/>
      <c r="Z11" s="1059"/>
      <c r="AA11" s="1059"/>
      <c r="AB11" s="1058"/>
      <c r="AC11" s="1059"/>
      <c r="AD11" s="1059"/>
      <c r="AE11" s="1059"/>
      <c r="AF11" s="1059"/>
      <c r="AG11" s="1059"/>
      <c r="AH11" s="1059"/>
      <c r="AI11" s="1058"/>
      <c r="AJ11" s="1059"/>
      <c r="AK11" s="995"/>
      <c r="AM11" s="1192"/>
      <c r="AN11" s="1192" t="str">
        <f>IF(T11="","",T11)</f>
        <v>Добавить наименование признака дифференциации</v>
      </c>
      <c r="AO11" s="1192"/>
      <c r="AP11" s="1192"/>
      <c r="AQ11" s="1847">
        <v>0</v>
      </c>
    </row>
    <row s="61695" customFormat="1" customHeight="1" ht="14.25" hidden="1">
      <c r="A12" s="2035"/>
      <c r="B12" s="2035"/>
      <c r="C12" s="2006"/>
      <c r="D12" s="2006"/>
      <c r="E12" s="2951"/>
      <c r="F12" s="2950"/>
      <c r="G12" s="2006"/>
      <c r="H12" s="2006"/>
      <c r="I12" s="2006"/>
      <c r="J12" s="2006"/>
      <c r="K12" s="2006"/>
      <c r="L12" s="2118"/>
      <c r="M12" s="2013"/>
      <c r="N12" s="2013"/>
      <c r="P12" s="2008"/>
      <c r="Q12" s="2009"/>
      <c r="R12" s="2008"/>
      <c r="S12" s="2014"/>
      <c r="T12" s="2017" t="s">
        <v>172</v>
      </c>
      <c r="U12" s="2016"/>
      <c r="V12" s="2016"/>
      <c r="W12" s="2016"/>
      <c r="X12" s="2016"/>
      <c r="Y12" s="2016"/>
      <c r="Z12" s="2016"/>
      <c r="AA12" s="2016"/>
      <c r="AB12" s="2016"/>
      <c r="AC12" s="2016"/>
      <c r="AD12" s="2016"/>
      <c r="AE12" s="2016"/>
      <c r="AF12" s="2016"/>
      <c r="AG12" s="2016"/>
      <c r="AH12" s="2016"/>
      <c r="AI12" s="2016"/>
      <c r="AJ12" s="2016"/>
      <c r="AK12" s="2016"/>
      <c r="AM12" s="1481"/>
      <c r="AN12" s="1481" t="str">
        <f>IF(T12="","",T12)</f>
        <v>Добавить централизованную систему для дифференциации</v>
      </c>
      <c r="AO12" s="1481"/>
      <c r="AP12" s="1481"/>
      <c r="AQ12" s="1210">
        <v>0</v>
      </c>
    </row>
    <row s="61695" customFormat="1" customHeight="1" ht="14.25" hidden="1">
      <c r="A13" s="2035"/>
      <c r="B13" s="2035"/>
      <c r="C13" s="2035"/>
      <c r="D13" s="2035"/>
      <c r="E13" s="2950"/>
      <c r="F13" s="2035"/>
      <c r="G13" s="2035"/>
      <c r="H13" s="2035"/>
      <c r="I13" s="2035"/>
      <c r="J13" s="2035"/>
      <c r="K13" s="2035"/>
      <c r="L13" s="2038"/>
      <c r="M13" s="2013"/>
      <c r="N13" s="2013"/>
      <c r="O13" s="1210"/>
      <c r="P13" s="1072"/>
      <c r="Q13" s="2036"/>
      <c r="R13" s="1072"/>
      <c r="S13" s="2014"/>
      <c r="T13" s="2017" t="s">
        <v>173</v>
      </c>
      <c r="U13" s="2016"/>
      <c r="V13" s="2016"/>
      <c r="W13" s="2016"/>
      <c r="X13" s="2016"/>
      <c r="Y13" s="2016"/>
      <c r="Z13" s="2016"/>
      <c r="AA13" s="2016"/>
      <c r="AB13" s="2016"/>
      <c r="AC13" s="2016"/>
      <c r="AD13" s="2016"/>
      <c r="AE13" s="2016"/>
      <c r="AF13" s="2016"/>
      <c r="AG13" s="2016"/>
      <c r="AH13" s="2016"/>
      <c r="AI13" s="2016"/>
      <c r="AJ13" s="2016"/>
      <c r="AK13" s="2016"/>
      <c r="AM13" s="1192"/>
      <c r="AN13" s="1192" t="str">
        <f>IF(T13="","",T13)</f>
        <v>Добавить территорию для дифференциации</v>
      </c>
      <c r="AO13" s="1192"/>
      <c r="AP13" s="1192"/>
      <c r="AQ13" s="1203">
        <v>0</v>
      </c>
    </row>
    <row customHeight="1" ht="14.25" hidden="1">
      <c r="AB14" s="1019"/>
      <c r="AI14" s="1019"/>
      <c r="AQ14" s="1847">
        <v>0</v>
      </c>
    </row>
    <row customHeight="1" ht="14.25" hidden="1">
      <c r="AC15" s="2052"/>
      <c r="AD15" s="2052"/>
      <c r="AE15" s="2053"/>
      <c r="AF15" s="2959"/>
      <c r="AG15" s="2960" t="s">
        <v>67</v>
      </c>
      <c r="AH15" s="2959"/>
      <c r="AI15" s="2960" t="s">
        <v>67</v>
      </c>
      <c r="AQ15" s="1847">
        <v>0</v>
      </c>
    </row>
    <row customHeight="1" ht="14.25" hidden="1">
      <c r="AC16" s="2052"/>
      <c r="AD16" s="2052"/>
      <c r="AE16" s="1020" t="str">
        <f>AF15&amp;"-"&amp;AH15</f>
        <v>-</v>
      </c>
      <c r="AF16" s="2960"/>
      <c r="AG16" s="2960"/>
      <c r="AH16" s="2960"/>
      <c r="AI16" s="2960"/>
      <c r="AQ16" s="1847">
        <v>0</v>
      </c>
    </row>
    <row customHeight="1" ht="14.25" hidden="1">
      <c r="AI17" s="1019"/>
      <c r="AQ17" s="1847">
        <v>0</v>
      </c>
    </row>
    <row s="62148" customFormat="1" customHeight="1" ht="22.5" hidden="1">
      <c r="L18" s="2113"/>
      <c r="M18" s="2054"/>
      <c r="N18" s="2054"/>
      <c r="O18" s="2059" t="s">
        <v>489</v>
      </c>
      <c r="P18" s="2054"/>
      <c r="Q18" s="2063"/>
      <c r="R18" s="2063"/>
      <c r="S18" s="1421"/>
      <c r="Y18" s="2059"/>
      <c r="AA18" s="2059"/>
      <c r="AB18" s="2058"/>
      <c r="AF18" s="2059"/>
      <c r="AH18" s="2059"/>
      <c r="AI18" s="2058"/>
      <c r="AL18" s="1203"/>
      <c r="AM18" s="1203"/>
      <c r="AN18" s="1203"/>
      <c r="AO18" s="1203"/>
      <c r="AP18" s="1203"/>
      <c r="AQ18" s="1852">
        <v>0</v>
      </c>
    </row>
    <row s="62148" customFormat="1" customHeight="1" ht="14.25" hidden="1">
      <c r="L19" s="2113"/>
      <c r="M19" s="2054"/>
      <c r="N19" s="2054"/>
      <c r="O19" s="2054"/>
      <c r="P19" s="2054"/>
      <c r="Q19" s="2063"/>
      <c r="R19" s="2063"/>
      <c r="S19" s="1421"/>
      <c r="AB19" s="2058"/>
      <c r="AI19" s="2058"/>
      <c r="AL19" s="1203"/>
      <c r="AM19" s="1203"/>
      <c r="AN19" s="1203"/>
      <c r="AO19" s="1203"/>
      <c r="AP19" s="1203"/>
      <c r="AQ19" s="1852">
        <v>0</v>
      </c>
    </row>
    <row s="62148" customFormat="1" customHeight="1" ht="12" hidden="1">
      <c r="L20" s="2113"/>
      <c r="M20" s="2054"/>
      <c r="N20" s="2054"/>
      <c r="O20" s="2056" t="s">
        <v>490</v>
      </c>
      <c r="P20" s="2054"/>
      <c r="Q20" s="2134"/>
      <c r="R20" s="2134"/>
      <c r="S20" s="1421"/>
      <c r="T20" s="1852" t="s">
        <v>491</v>
      </c>
      <c r="Z20" s="878" t="s">
        <v>492</v>
      </c>
      <c r="AB20" s="878" t="s">
        <v>493</v>
      </c>
      <c r="AC20" s="1852" t="s">
        <v>491</v>
      </c>
      <c r="AG20" s="878" t="s">
        <v>494</v>
      </c>
      <c r="AI20" s="878" t="s">
        <v>493</v>
      </c>
      <c r="AQ20" s="1852">
        <v>0</v>
      </c>
    </row>
    <row customHeight="1" ht="14.25" hidden="1">
      <c r="O21" s="2056"/>
      <c r="AQ21" s="1847">
        <v>0</v>
      </c>
    </row>
    <row customHeight="1" ht="14.25" hidden="1">
      <c r="O22" s="2056"/>
      <c r="AQ22" s="1847">
        <v>0</v>
      </c>
    </row>
    <row customHeight="1" ht="14.699999999999998">
      <c r="Q23" s="1068"/>
      <c r="R23" s="1068"/>
      <c r="S23" s="1967"/>
      <c r="T23" s="1055"/>
      <c r="U23" s="1055"/>
      <c r="V23" s="1201"/>
      <c r="W23" s="1201"/>
      <c r="X23" s="1201"/>
      <c r="Y23" s="1201"/>
      <c r="Z23" s="1201"/>
      <c r="AA23" s="1201"/>
      <c r="AB23" s="1201"/>
      <c r="AC23" s="1201"/>
      <c r="AD23" s="1201"/>
      <c r="AE23" s="1201"/>
      <c r="AF23" s="1201"/>
      <c r="AG23" s="1201"/>
      <c r="AH23" s="1201"/>
      <c r="AI23" s="1201"/>
      <c r="AQ23" s="1847">
        <v>14</v>
      </c>
    </row>
    <row customHeight="1" ht="14.699999999999998">
      <c r="Q24" s="1068"/>
      <c r="R24" s="1068"/>
      <c r="S24" s="294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40"/>
      <c r="U24" s="2940"/>
      <c r="V24" s="2940"/>
      <c r="W24" s="2940"/>
      <c r="X24" s="2940"/>
      <c r="Y24" s="2940"/>
      <c r="Z24" s="2940"/>
      <c r="AA24" s="2940"/>
      <c r="AB24" s="2940"/>
      <c r="AC24" s="2940"/>
      <c r="AD24" s="2940"/>
      <c r="AE24" s="2940"/>
      <c r="AF24" s="2940"/>
      <c r="AG24" s="2940"/>
      <c r="AH24" s="2940"/>
      <c r="AI24" s="1935"/>
      <c r="AQ24" s="1847">
        <v>14</v>
      </c>
    </row>
    <row customHeight="1" ht="14.699999999999998">
      <c r="Q25" s="1068"/>
      <c r="R25" s="1068"/>
      <c r="S25" s="2941" t="str">
        <f>IF(org=0,"Не определено",org)</f>
        <v>АО "ДГК"</v>
      </c>
      <c r="T25" s="2941"/>
      <c r="U25" s="2941"/>
      <c r="V25" s="2941"/>
      <c r="W25" s="2941"/>
      <c r="X25" s="2941"/>
      <c r="Y25" s="2941"/>
      <c r="Z25" s="2941"/>
      <c r="AA25" s="2941"/>
      <c r="AB25" s="2941"/>
      <c r="AC25" s="2941"/>
      <c r="AD25" s="2941"/>
      <c r="AE25" s="2941"/>
      <c r="AF25" s="2941"/>
      <c r="AG25" s="2941"/>
      <c r="AH25" s="2941"/>
      <c r="AI25" s="1935"/>
      <c r="AQ25" s="1847">
        <v>14</v>
      </c>
    </row>
    <row customHeight="1" ht="14.25" hidden="1">
      <c r="Q26" s="1068"/>
      <c r="R26" s="1068"/>
      <c r="S26" s="1967"/>
      <c r="T26" s="1055"/>
      <c r="U26" s="1055"/>
      <c r="V26" s="1014"/>
      <c r="W26" s="1014"/>
      <c r="X26" s="1014"/>
      <c r="Y26" s="1014"/>
      <c r="Z26" s="1014"/>
      <c r="AA26" s="1014"/>
      <c r="AB26" s="1014"/>
      <c r="AC26" s="1014"/>
      <c r="AD26" s="1014"/>
      <c r="AE26" s="1014"/>
      <c r="AF26" s="1014"/>
      <c r="AG26" s="1014"/>
      <c r="AH26" s="1014"/>
      <c r="AI26" s="1014"/>
      <c r="AJ26" s="1201"/>
      <c r="AQ26" s="1847">
        <v>0</v>
      </c>
    </row>
    <row s="63055" customFormat="1" customHeight="1" ht="25.5" hidden="1">
      <c r="A27" s="2060"/>
      <c r="B27" s="2060"/>
      <c r="C27" s="2060"/>
      <c r="D27" s="2060"/>
      <c r="E27" s="2060"/>
      <c r="F27" s="2060"/>
      <c r="G27" s="2060"/>
      <c r="H27" s="2060"/>
      <c r="I27" s="2060"/>
      <c r="J27" s="2060"/>
      <c r="K27" s="2060"/>
      <c r="L27" s="2061"/>
      <c r="M27" s="2060"/>
      <c r="N27" s="2060"/>
      <c r="O27" s="2060"/>
      <c r="S27" s="2942" t="s">
        <v>42</v>
      </c>
      <c r="T27" s="2942"/>
      <c r="U27" s="2064"/>
      <c r="V27" s="2943" t="str">
        <f>IF(TITLE_NAME_OR_PR_CHANGE="",IF(TITLE_NAME_OR_PR="","",TITLE_NAME_OR_PR),TITLE_NAME_OR_PR_CHANGE)</f>
        <v/>
      </c>
      <c r="W27" s="2943"/>
      <c r="X27" s="2943"/>
      <c r="Y27" s="2943"/>
      <c r="Z27" s="2943"/>
      <c r="AA27" s="2943"/>
      <c r="AB27" s="1018"/>
      <c r="AC27" s="2943" t="str">
        <f>IF(TITLE_NAME_OR_PR_CHANGE="",IF(TITLE_NAME_OR_PR="","",TITLE_NAME_OR_PR),TITLE_NAME_OR_PR_CHANGE)</f>
        <v/>
      </c>
      <c r="AD27" s="2943"/>
      <c r="AE27" s="2943"/>
      <c r="AF27" s="2943"/>
      <c r="AG27" s="2943"/>
      <c r="AH27" s="2943"/>
      <c r="AI27" s="1018"/>
      <c r="AJ27" s="1018"/>
      <c r="AK27" s="972"/>
      <c r="AL27" s="1060"/>
      <c r="AM27" s="1060"/>
      <c r="AN27" s="1060"/>
      <c r="AO27" s="1060"/>
      <c r="AP27" s="1060"/>
      <c r="AQ27" s="1110">
        <v>0</v>
      </c>
    </row>
    <row s="63055" customFormat="1" customHeight="1" ht="18.75" hidden="1">
      <c r="A28" s="2060"/>
      <c r="B28" s="2060"/>
      <c r="C28" s="2060"/>
      <c r="D28" s="2060"/>
      <c r="E28" s="2060"/>
      <c r="F28" s="2060"/>
      <c r="G28" s="2060"/>
      <c r="H28" s="2060"/>
      <c r="I28" s="2060"/>
      <c r="J28" s="2060"/>
      <c r="K28" s="2060"/>
      <c r="L28" s="2061"/>
      <c r="M28" s="2060"/>
      <c r="N28" s="2060"/>
      <c r="O28" s="2060"/>
      <c r="S28" s="2942" t="s">
        <v>495</v>
      </c>
      <c r="T28" s="2942"/>
      <c r="U28" s="2064"/>
      <c r="V28" s="2956" t="str">
        <f>IF(TITLE_DATE_PR_CHANGE="",IF(TITLE_DATE_PR="","",TITLE_DATE_PR),TITLE_DATE_PR_CHANGE)</f>
        <v>45981</v>
      </c>
      <c r="W28" s="2956"/>
      <c r="X28" s="2956"/>
      <c r="Y28" s="2956"/>
      <c r="Z28" s="2956"/>
      <c r="AA28" s="2956"/>
      <c r="AB28" s="1018"/>
      <c r="AC28" s="2956" t="str">
        <f>IF(TITLE_DATE_PR_CHANGE="",IF(TITLE_DATE_PR="","",TITLE_DATE_PR),TITLE_DATE_PR_CHANGE)</f>
        <v>45981</v>
      </c>
      <c r="AD28" s="2956"/>
      <c r="AE28" s="2956"/>
      <c r="AF28" s="2956"/>
      <c r="AG28" s="2956"/>
      <c r="AH28" s="2956"/>
      <c r="AI28" s="1018"/>
      <c r="AJ28" s="1018"/>
      <c r="AK28" s="972"/>
      <c r="AL28" s="1060"/>
      <c r="AM28" s="1060"/>
      <c r="AN28" s="1060"/>
      <c r="AO28" s="1060"/>
      <c r="AP28" s="1060"/>
      <c r="AQ28" s="1110">
        <v>0</v>
      </c>
    </row>
    <row s="63055" customFormat="1" customHeight="1" ht="18.75" hidden="1">
      <c r="A29" s="2060"/>
      <c r="B29" s="2060"/>
      <c r="C29" s="2060"/>
      <c r="D29" s="2060"/>
      <c r="E29" s="2060"/>
      <c r="F29" s="2060"/>
      <c r="G29" s="2060"/>
      <c r="H29" s="2060"/>
      <c r="I29" s="2060"/>
      <c r="J29" s="2060"/>
      <c r="K29" s="2060"/>
      <c r="L29" s="2061"/>
      <c r="M29" s="2060"/>
      <c r="N29" s="2060"/>
      <c r="O29" s="2060"/>
      <c r="S29" s="2942" t="s">
        <v>496</v>
      </c>
      <c r="T29" s="2942"/>
      <c r="U29" s="2064"/>
      <c r="V29" s="2943" t="str">
        <f>IF(TITLE_NUMBER_PR_CHANGE="",IF(TITLE_NUMBER_PR="","",TITLE_NUMBER_PR),TITLE_NUMBER_PR_CHANGE)</f>
        <v>Исх-260/1781</v>
      </c>
      <c r="W29" s="2943"/>
      <c r="X29" s="2943"/>
      <c r="Y29" s="2943"/>
      <c r="Z29" s="2943"/>
      <c r="AA29" s="2943"/>
      <c r="AB29" s="1018"/>
      <c r="AC29" s="2943" t="str">
        <f>IF(TITLE_NUMBER_PR_CHANGE="",IF(TITLE_NUMBER_PR="","",TITLE_NUMBER_PR),TITLE_NUMBER_PR_CHANGE)</f>
        <v>Исх-260/1781</v>
      </c>
      <c r="AD29" s="2943"/>
      <c r="AE29" s="2943"/>
      <c r="AF29" s="2943"/>
      <c r="AG29" s="2943"/>
      <c r="AH29" s="2943"/>
      <c r="AI29" s="1018"/>
      <c r="AJ29" s="1018"/>
      <c r="AK29" s="972"/>
      <c r="AL29" s="1060"/>
      <c r="AM29" s="1060"/>
      <c r="AN29" s="1060"/>
      <c r="AO29" s="1060"/>
      <c r="AP29" s="1060"/>
      <c r="AQ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43</v>
      </c>
      <c r="T30" s="2942"/>
      <c r="U30" s="2064"/>
      <c r="V30" s="2943" t="str">
        <f>IF(TITLE_IST_PUB_CHANGE="",IF(TITLE_IST_PUB="","",TITLE_IST_PUB),TITLE_IST_PUB_CHANGE)</f>
        <v/>
      </c>
      <c r="W30" s="2943"/>
      <c r="X30" s="2943"/>
      <c r="Y30" s="2943"/>
      <c r="Z30" s="2943"/>
      <c r="AA30" s="2943"/>
      <c r="AB30" s="1018"/>
      <c r="AC30" s="2943" t="str">
        <f>IF(TITLE_IST_PUB_CHANGE="",IF(TITLE_IST_PUB="","",TITLE_IST_PUB),TITLE_IST_PUB_CHANGE)</f>
        <v/>
      </c>
      <c r="AD30" s="2943"/>
      <c r="AE30" s="2943"/>
      <c r="AF30" s="2943"/>
      <c r="AG30" s="2943"/>
      <c r="AH30" s="2943"/>
      <c r="AI30" s="1018"/>
      <c r="AJ30" s="1018"/>
      <c r="AK30" s="972"/>
      <c r="AL30" s="1060"/>
      <c r="AM30" s="1060"/>
      <c r="AN30" s="1060"/>
      <c r="AO30" s="1060"/>
      <c r="AP30" s="1060"/>
      <c r="AQ30" s="1110">
        <v>0</v>
      </c>
    </row>
    <row customHeight="1" ht="14.25">
      <c r="Q31" s="1068"/>
      <c r="R31" s="1068"/>
      <c r="S31" s="1967"/>
      <c r="T31" s="1055"/>
      <c r="U31" s="1055"/>
      <c r="V31" s="1014"/>
      <c r="W31" s="1014"/>
      <c r="X31" s="1014"/>
      <c r="Y31" s="1014"/>
      <c r="Z31" s="1014"/>
      <c r="AA31" s="1014"/>
      <c r="AB31" s="1014"/>
      <c r="AC31" s="1014"/>
      <c r="AD31" s="1014"/>
      <c r="AE31" s="1014"/>
      <c r="AF31" s="1014"/>
      <c r="AG31" s="1014"/>
      <c r="AH31" s="1014"/>
      <c r="AI31" s="1014"/>
      <c r="AJ31" s="1201"/>
      <c r="AQ31" s="1847">
        <v>0</v>
      </c>
    </row>
    <row s="63055" customFormat="1" customHeight="1" ht="18.75">
      <c r="A32" s="2060"/>
      <c r="B32" s="2060"/>
      <c r="C32" s="2060"/>
      <c r="D32" s="2060"/>
      <c r="E32" s="2060"/>
      <c r="F32" s="2060"/>
      <c r="G32" s="2060"/>
      <c r="H32" s="2060"/>
      <c r="I32" s="2060"/>
      <c r="J32" s="2060"/>
      <c r="K32" s="2060"/>
      <c r="L32" s="2061"/>
      <c r="M32" s="2060"/>
      <c r="N32" s="2060"/>
      <c r="O32" s="2060"/>
      <c r="S32" s="2942" t="s">
        <v>497</v>
      </c>
      <c r="T32" s="2942"/>
      <c r="U32" s="2064"/>
      <c r="V32" s="2956" t="str">
        <f>IF(TITLE_DATE_PR_CHANGE="",IF(TITLE_DATE_PR="","",TITLE_DATE_PR),TITLE_DATE_PR_CHANGE)</f>
        <v>45981</v>
      </c>
      <c r="W32" s="2956"/>
      <c r="X32" s="2956"/>
      <c r="Y32" s="2956"/>
      <c r="Z32" s="2956"/>
      <c r="AA32" s="2956"/>
      <c r="AB32" s="1018"/>
      <c r="AC32" s="2956" t="str">
        <f>IF(TITLE_DATE_PR_CHANGE="",IF(TITLE_DATE_PR="","",TITLE_DATE_PR),TITLE_DATE_PR_CHANGE)</f>
        <v>45981</v>
      </c>
      <c r="AD32" s="2956"/>
      <c r="AE32" s="2956"/>
      <c r="AF32" s="2956"/>
      <c r="AG32" s="2956"/>
      <c r="AH32" s="2956"/>
      <c r="AI32" s="1018"/>
      <c r="AJ32" s="1018"/>
      <c r="AK32" s="972"/>
      <c r="AL32" s="1060"/>
      <c r="AM32" s="1060"/>
      <c r="AN32" s="1060"/>
      <c r="AO32" s="1060"/>
      <c r="AP32" s="1060"/>
      <c r="AQ32" s="1110">
        <v>0</v>
      </c>
    </row>
    <row s="63055" customFormat="1" customHeight="1" ht="18.75">
      <c r="A33" s="2060"/>
      <c r="B33" s="2060"/>
      <c r="C33" s="2060"/>
      <c r="D33" s="2060"/>
      <c r="E33" s="2060"/>
      <c r="F33" s="2060"/>
      <c r="G33" s="2060"/>
      <c r="H33" s="2060"/>
      <c r="I33" s="2060"/>
      <c r="J33" s="2060"/>
      <c r="K33" s="2060"/>
      <c r="L33" s="2061"/>
      <c r="M33" s="2060"/>
      <c r="N33" s="2060"/>
      <c r="O33" s="2060"/>
      <c r="S33" s="2942" t="s">
        <v>498</v>
      </c>
      <c r="T33" s="2942"/>
      <c r="U33" s="2064"/>
      <c r="V33" s="2943" t="str">
        <f>IF(TITLE_NUMBER_PR_CHANGE="",IF(TITLE_NUMBER_PR="","",TITLE_NUMBER_PR),TITLE_NUMBER_PR_CHANGE)</f>
        <v>Исх-260/1781</v>
      </c>
      <c r="W33" s="2943"/>
      <c r="X33" s="2943"/>
      <c r="Y33" s="2943"/>
      <c r="Z33" s="2943"/>
      <c r="AA33" s="2943"/>
      <c r="AB33" s="1018"/>
      <c r="AC33" s="2943" t="str">
        <f>IF(TITLE_NUMBER_PR_CHANGE="",IF(TITLE_NUMBER_PR="","",TITLE_NUMBER_PR),TITLE_NUMBER_PR_CHANGE)</f>
        <v>Исх-260/1781</v>
      </c>
      <c r="AD33" s="2943"/>
      <c r="AE33" s="2943"/>
      <c r="AF33" s="2943"/>
      <c r="AG33" s="2943"/>
      <c r="AH33" s="2943"/>
      <c r="AI33" s="1018"/>
      <c r="AJ33" s="1018"/>
      <c r="AK33" s="972"/>
      <c r="AL33" s="1060"/>
      <c r="AM33" s="1060"/>
      <c r="AN33" s="1060"/>
      <c r="AO33" s="1060"/>
      <c r="AP33" s="1060"/>
      <c r="AQ33" s="1110">
        <v>0</v>
      </c>
    </row>
    <row s="63055" customFormat="1" customHeight="1" ht="1.05">
      <c r="A34" s="2060"/>
      <c r="B34" s="2060"/>
      <c r="C34" s="2060"/>
      <c r="D34" s="2060"/>
      <c r="E34" s="2060"/>
      <c r="F34" s="2060"/>
      <c r="G34" s="2060"/>
      <c r="H34" s="2060"/>
      <c r="I34" s="2060"/>
      <c r="J34" s="2060"/>
      <c r="K34" s="2060"/>
      <c r="L34" s="2061"/>
      <c r="M34" s="2060"/>
      <c r="N34" s="2060"/>
      <c r="O34" s="2060"/>
      <c r="S34" s="1015"/>
      <c r="T34" s="1015"/>
      <c r="U34" s="2047"/>
      <c r="V34" s="1018"/>
      <c r="W34" s="1018"/>
      <c r="X34" s="1018"/>
      <c r="Y34" s="1018"/>
      <c r="Z34" s="1018"/>
      <c r="AA34" s="1018"/>
      <c r="AB34" s="970" t="s">
        <v>499</v>
      </c>
      <c r="AC34" s="1018"/>
      <c r="AD34" s="1018"/>
      <c r="AE34" s="1018"/>
      <c r="AF34" s="1018"/>
      <c r="AG34" s="1018"/>
      <c r="AH34" s="1018"/>
      <c r="AI34" s="970" t="s">
        <v>499</v>
      </c>
      <c r="AL34" s="1060"/>
      <c r="AM34" s="1060"/>
      <c r="AN34" s="1060"/>
      <c r="AO34" s="1060"/>
      <c r="AP34" s="1060"/>
      <c r="AQ34" s="1110">
        <v>1</v>
      </c>
    </row>
    <row customHeight="1" ht="14.699999999999998">
      <c r="Q35" s="1068"/>
      <c r="R35" s="1068"/>
      <c r="S35" s="1967"/>
      <c r="T35" s="1055"/>
      <c r="U35" s="1936"/>
      <c r="V35" s="2944"/>
      <c r="W35" s="2944"/>
      <c r="X35" s="2944"/>
      <c r="Y35" s="2944"/>
      <c r="Z35" s="2944"/>
      <c r="AA35" s="2944"/>
      <c r="AB35" s="2944"/>
      <c r="AC35" s="2944"/>
      <c r="AD35" s="2944"/>
      <c r="AE35" s="2944"/>
      <c r="AF35" s="2944"/>
      <c r="AG35" s="2944"/>
      <c r="AH35" s="2944"/>
      <c r="AI35" s="2944"/>
      <c r="AQ35" s="1847">
        <v>14</v>
      </c>
    </row>
    <row customHeight="1" ht="14.699999999999998">
      <c r="Q36" s="1068"/>
      <c r="R36" s="1068"/>
      <c r="S36" s="2819" t="s">
        <v>375</v>
      </c>
      <c r="T36" s="2819"/>
      <c r="U36" s="2819"/>
      <c r="V36" s="2819"/>
      <c r="W36" s="2819"/>
      <c r="X36" s="2819"/>
      <c r="Y36" s="2819"/>
      <c r="Z36" s="2819"/>
      <c r="AA36" s="2819"/>
      <c r="AB36" s="2819"/>
      <c r="AC36" s="2819"/>
      <c r="AD36" s="2819"/>
      <c r="AE36" s="2819"/>
      <c r="AF36" s="2819"/>
      <c r="AG36" s="2819"/>
      <c r="AH36" s="2819"/>
      <c r="AI36" s="2819"/>
      <c r="AJ36" s="2819"/>
      <c r="AK36" s="2819" t="s">
        <v>376</v>
      </c>
      <c r="AQ36" s="1847">
        <v>14</v>
      </c>
    </row>
    <row customHeight="1" ht="14.699999999999998">
      <c r="Q37" s="1068"/>
      <c r="R37" s="1068"/>
      <c r="S37" s="2965" t="s">
        <v>89</v>
      </c>
      <c r="T37" s="2901" t="s">
        <v>500</v>
      </c>
      <c r="U37" s="993"/>
      <c r="V37" s="2966" t="s">
        <v>501</v>
      </c>
      <c r="W37" s="2967"/>
      <c r="X37" s="2967"/>
      <c r="Y37" s="2967"/>
      <c r="Z37" s="2967"/>
      <c r="AA37" s="2968"/>
      <c r="AB37" s="2969" t="s">
        <v>502</v>
      </c>
      <c r="AC37" s="2966" t="s">
        <v>501</v>
      </c>
      <c r="AD37" s="2967"/>
      <c r="AE37" s="2967"/>
      <c r="AF37" s="2967"/>
      <c r="AG37" s="2967"/>
      <c r="AH37" s="2968"/>
      <c r="AI37" s="2969" t="s">
        <v>503</v>
      </c>
      <c r="AJ37" s="2972" t="s">
        <v>504</v>
      </c>
      <c r="AK37" s="2819"/>
      <c r="AQ37" s="1847">
        <v>14</v>
      </c>
    </row>
    <row customHeight="1" ht="35.699999999999996">
      <c r="Q38" s="1068"/>
      <c r="R38" s="1068"/>
      <c r="S38" s="2965"/>
      <c r="T38" s="2901"/>
      <c r="U38" s="1723"/>
      <c r="V38" s="2044" t="s">
        <v>563</v>
      </c>
      <c r="W38" s="2954" t="s">
        <v>507</v>
      </c>
      <c r="X38" s="2955"/>
      <c r="Y38" s="2954" t="s">
        <v>508</v>
      </c>
      <c r="Z38" s="2961"/>
      <c r="AA38" s="2955"/>
      <c r="AB38" s="2970"/>
      <c r="AC38" s="2044" t="s">
        <v>563</v>
      </c>
      <c r="AD38" s="2954" t="s">
        <v>507</v>
      </c>
      <c r="AE38" s="2955"/>
      <c r="AF38" s="2954" t="s">
        <v>508</v>
      </c>
      <c r="AG38" s="2961"/>
      <c r="AH38" s="2955"/>
      <c r="AI38" s="2970"/>
      <c r="AJ38" s="2973"/>
      <c r="AK38" s="2819"/>
      <c r="AQ38" s="1847">
        <v>34</v>
      </c>
    </row>
    <row customHeight="1" ht="35.699999999999996">
      <c r="A39" s="2062"/>
      <c r="B39" s="2062" t="s">
        <v>143</v>
      </c>
      <c r="C39" s="2062" t="s">
        <v>144</v>
      </c>
      <c r="D39" s="2062" t="s">
        <v>145</v>
      </c>
      <c r="E39" s="2056" t="s">
        <v>509</v>
      </c>
      <c r="F39" s="2056" t="s">
        <v>510</v>
      </c>
      <c r="G39" s="2056" t="s">
        <v>511</v>
      </c>
      <c r="H39" s="2056"/>
      <c r="I39" s="2056" t="s">
        <v>564</v>
      </c>
      <c r="J39" s="2056" t="s">
        <v>514</v>
      </c>
      <c r="K39" s="2056" t="s">
        <v>565</v>
      </c>
      <c r="L39" s="2056" t="s">
        <v>490</v>
      </c>
      <c r="Q39" s="1068"/>
      <c r="R39" s="1068"/>
      <c r="S39" s="2965"/>
      <c r="T39" s="2901"/>
      <c r="U39" s="994"/>
      <c r="V39" s="2044" t="s">
        <v>566</v>
      </c>
      <c r="W39" s="1914" t="s">
        <v>567</v>
      </c>
      <c r="X39" s="1914" t="s">
        <v>568</v>
      </c>
      <c r="Y39" s="2049" t="s">
        <v>518</v>
      </c>
      <c r="Z39" s="2962" t="s">
        <v>519</v>
      </c>
      <c r="AA39" s="2963"/>
      <c r="AB39" s="2971"/>
      <c r="AC39" s="2044" t="s">
        <v>566</v>
      </c>
      <c r="AD39" s="1914" t="s">
        <v>567</v>
      </c>
      <c r="AE39" s="1914" t="s">
        <v>568</v>
      </c>
      <c r="AF39" s="2049" t="s">
        <v>518</v>
      </c>
      <c r="AG39" s="2962" t="s">
        <v>519</v>
      </c>
      <c r="AH39" s="2963"/>
      <c r="AI39" s="2971"/>
      <c r="AJ39" s="2974"/>
      <c r="AK39" s="2819"/>
      <c r="AQ39" s="1847">
        <v>34</v>
      </c>
    </row>
    <row s="61193" customFormat="1" customHeight="1" ht="11.25" hidden="1">
      <c r="A40" s="2062"/>
      <c r="B40" s="2062"/>
      <c r="C40" s="2062"/>
      <c r="D40" s="2062"/>
      <c r="E40" s="2062"/>
      <c r="F40" s="2062"/>
      <c r="G40" s="2062"/>
      <c r="H40" s="2062"/>
      <c r="I40" s="2062"/>
      <c r="J40" s="2062"/>
      <c r="K40" s="2062"/>
      <c r="L40" s="2056"/>
      <c r="M40" s="2054"/>
      <c r="N40" s="2054"/>
      <c r="O40" s="2054"/>
      <c r="P40" s="1938"/>
      <c r="Q40" s="1939"/>
      <c r="R40" s="1946">
        <v>1</v>
      </c>
      <c r="S40" s="1969" t="s">
        <v>118</v>
      </c>
      <c r="T40" s="1947" t="s">
        <v>103</v>
      </c>
      <c r="U40" s="1937" t="str">
        <f>OFFSET(U40,0,-1)</f>
        <v>2</v>
      </c>
      <c r="V40" s="2045">
        <f>OFFSET(V40,0,-1)+1</f>
        <v>3</v>
      </c>
      <c r="W40" s="2045">
        <f>OFFSET(W40,0,-1)+1</f>
        <v>4</v>
      </c>
      <c r="X40" s="2045">
        <f>OFFSET(X40,0,-1)+1</f>
        <v>5</v>
      </c>
      <c r="Y40" s="2045">
        <f>OFFSET(Y40,0,-1)+1</f>
        <v>6</v>
      </c>
      <c r="Z40" s="2964">
        <f>OFFSET(Z40,0,-1)+1</f>
        <v>7</v>
      </c>
      <c r="AA40" s="2964"/>
      <c r="AB40" s="2045">
        <f>OFFSET(AB40,0,-2)+1</f>
        <v>8</v>
      </c>
      <c r="AC40" s="2045">
        <f>OFFSET(AC40,0,-1)+1</f>
        <v>9</v>
      </c>
      <c r="AD40" s="2045">
        <f>OFFSET(AD40,0,-1)+1</f>
        <v>10</v>
      </c>
      <c r="AE40" s="2045">
        <f>OFFSET(AE40,0,-1)+1</f>
        <v>11</v>
      </c>
      <c r="AF40" s="2045">
        <f>OFFSET(AF40,0,-1)+1</f>
        <v>12</v>
      </c>
      <c r="AG40" s="2964">
        <f>OFFSET(AG40,0,-1)+1</f>
        <v>13</v>
      </c>
      <c r="AH40" s="2964"/>
      <c r="AI40" s="2045">
        <f>OFFSET(AI40,0,-2)+1</f>
        <v>14</v>
      </c>
      <c r="AJ40" s="1937">
        <f>OFFSET(AJ40,0,-1)</f>
        <v>14</v>
      </c>
      <c r="AK40" s="2045">
        <f>OFFSET(AK40,0,-1)+1</f>
        <v>15</v>
      </c>
      <c r="AL40" s="1203"/>
      <c r="AM40" s="1203"/>
      <c r="AN40" s="1203"/>
      <c r="AO40" s="1203"/>
      <c r="AP40" s="1203"/>
      <c r="AQ40" s="1188">
        <v>0</v>
      </c>
    </row>
    <row customHeight="1" ht="24">
      <c r="A41" s="2055" t="s">
        <v>301</v>
      </c>
      <c r="B41" s="2055"/>
      <c r="C41" s="2055"/>
      <c r="D41" s="2055"/>
      <c r="E41" s="2950">
        <v>1</v>
      </c>
      <c r="F41" s="2055"/>
      <c r="G41" s="2055"/>
      <c r="H41" s="2055"/>
      <c r="I41" s="2055"/>
      <c r="J41" s="2055"/>
      <c r="K41" s="2055"/>
      <c r="L41" s="2056"/>
      <c r="M41" s="2057"/>
      <c r="N41" s="2057"/>
      <c r="O41" s="2057"/>
      <c r="P41" s="1053"/>
      <c r="Q41" s="1052"/>
      <c r="R41" s="1047"/>
      <c r="S41" s="2050">
        <f>INDEX(PT_DIFFERENTIATION_NUM_NTAR,MATCH(A41,PT_DIFFERENTIATION_NTAR_ID,0))</f>
        <v>0</v>
      </c>
      <c r="T41" s="990" t="s">
        <v>131</v>
      </c>
      <c r="U41" s="992"/>
      <c r="V41" s="2934"/>
      <c r="W41" s="2935"/>
      <c r="X41" s="2935"/>
      <c r="Y41" s="2935"/>
      <c r="Z41" s="2935"/>
      <c r="AA41" s="2935"/>
      <c r="AB41" s="2936"/>
      <c r="AC41" s="2934" t="str">
        <f>INDEX(PT_DIFFERENTIATION_NTAR,MATCH(A41,PT_DIFFERENTIATION_NTAR_ID,0))</f>
        <v/>
      </c>
      <c r="AD41" s="2935"/>
      <c r="AE41" s="2935"/>
      <c r="AF41" s="2935"/>
      <c r="AG41" s="2935"/>
      <c r="AH41" s="2935"/>
      <c r="AI41" s="2935"/>
      <c r="AJ41" s="2936"/>
      <c r="AK41"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92"/>
      <c r="AN41" s="1192" t="str">
        <f>IF(T41="","",T41)</f>
        <v>Наименование тарифа</v>
      </c>
      <c r="AO41" s="1192"/>
      <c r="AP41" s="1192"/>
      <c r="AQ41" s="1847">
        <v>23</v>
      </c>
    </row>
    <row customHeight="1" ht="24">
      <c r="A42" s="2055" t="s">
        <v>301</v>
      </c>
      <c r="B42" s="2055" t="s">
        <v>302</v>
      </c>
      <c r="C42" s="2055"/>
      <c r="D42" s="2055"/>
      <c r="E42" s="2951"/>
      <c r="F42" s="2950">
        <v>1</v>
      </c>
      <c r="G42" s="2055"/>
      <c r="H42" s="2055"/>
      <c r="I42" s="2055"/>
      <c r="J42" s="2055"/>
      <c r="K42" s="2055"/>
      <c r="L42" s="2056"/>
      <c r="M42" s="2057"/>
      <c r="N42" s="2057"/>
      <c r="O42" s="2057"/>
      <c r="P42" s="2048"/>
      <c r="Q42" s="1044"/>
      <c r="R42" s="1045"/>
      <c r="S42" s="2050" t="str">
        <f>INDEX(PT_DIFFERENTIATION_NUM_TER,MATCH(B42,PT_DIFFERENTIATION_TER_ID,0))</f>
        <v>.</v>
      </c>
      <c r="T42" s="1000" t="s">
        <v>472</v>
      </c>
      <c r="U42" s="992"/>
      <c r="V42" s="2934"/>
      <c r="W42" s="2935"/>
      <c r="X42" s="2935"/>
      <c r="Y42" s="2935"/>
      <c r="Z42" s="2935"/>
      <c r="AA42" s="2935"/>
      <c r="AB42" s="2936"/>
      <c r="AC42" s="2934" t="str">
        <f>INDEX(PT_DIFFERENTIATION_TER,MATCH(B42,PT_DIFFERENTIATION_TER_ID,0))</f>
        <v/>
      </c>
      <c r="AD42" s="2935"/>
      <c r="AE42" s="2935"/>
      <c r="AF42" s="2935"/>
      <c r="AG42" s="2935"/>
      <c r="AH42" s="2935"/>
      <c r="AI42" s="2935"/>
      <c r="AJ42" s="2936"/>
      <c r="AK42" s="1950" t="s">
        <v>473</v>
      </c>
      <c r="AM42" s="1192"/>
      <c r="AN42" s="1192" t="str">
        <f>IF(T42="","",T42)</f>
        <v>Территория действия тарифа</v>
      </c>
      <c r="AO42" s="1192"/>
      <c r="AP42" s="1192"/>
      <c r="AQ42" s="1847">
        <v>23</v>
      </c>
    </row>
    <row customHeight="1" ht="24">
      <c r="A43" s="2055" t="s">
        <v>301</v>
      </c>
      <c r="B43" s="2055" t="s">
        <v>302</v>
      </c>
      <c r="C43" s="2055" t="s">
        <v>303</v>
      </c>
      <c r="D43" s="2055"/>
      <c r="E43" s="2951"/>
      <c r="F43" s="2951"/>
      <c r="G43" s="2950">
        <v>1</v>
      </c>
      <c r="H43" s="2055"/>
      <c r="I43" s="2055"/>
      <c r="J43" s="2055"/>
      <c r="K43" s="2055"/>
      <c r="L43" s="2056"/>
      <c r="M43" s="2057"/>
      <c r="N43" s="2057"/>
      <c r="O43" s="2057"/>
      <c r="P43" s="1046"/>
      <c r="Q43" s="1044"/>
      <c r="R43" s="1045"/>
      <c r="S43" s="2050" t="str">
        <f>INDEX(PT_DIFFERENTIATION_NUM_CS,MATCH(C43,PT_DIFFERENTIATION_CS_ID,0))</f>
        <v>..</v>
      </c>
      <c r="T43" s="1001" t="s">
        <v>555</v>
      </c>
      <c r="U43" s="992"/>
      <c r="V43" s="2934"/>
      <c r="W43" s="2935"/>
      <c r="X43" s="2935"/>
      <c r="Y43" s="2935"/>
      <c r="Z43" s="2935"/>
      <c r="AA43" s="2935"/>
      <c r="AB43" s="2936"/>
      <c r="AC43" s="2934" t="str">
        <f>INDEX(PT_DIFFERENTIATION_CS,MATCH(C43,PT_DIFFERENTIATION_CS_ID,0))</f>
        <v/>
      </c>
      <c r="AD43" s="2935"/>
      <c r="AE43" s="2935"/>
      <c r="AF43" s="2935"/>
      <c r="AG43" s="2935"/>
      <c r="AH43" s="2935"/>
      <c r="AI43" s="2935"/>
      <c r="AJ43" s="2936"/>
      <c r="AK43" s="1950" t="s">
        <v>556</v>
      </c>
      <c r="AM43" s="1192"/>
      <c r="AN43" s="1192" t="str">
        <f>IF(T43="","",T43)</f>
        <v>Наименование централизованной системы холодного водоснабжения</v>
      </c>
      <c r="AO43" s="1192"/>
      <c r="AP43" s="1192"/>
      <c r="AQ43" s="1847">
        <v>23</v>
      </c>
    </row>
    <row customHeight="1" ht="24">
      <c r="A44" s="2055" t="s">
        <v>301</v>
      </c>
      <c r="B44" s="2055" t="s">
        <v>302</v>
      </c>
      <c r="C44" s="2055" t="s">
        <v>303</v>
      </c>
      <c r="D44" s="2055" t="s">
        <v>569</v>
      </c>
      <c r="E44" s="2951"/>
      <c r="F44" s="2951"/>
      <c r="G44" s="2951"/>
      <c r="H44" s="2951"/>
      <c r="I44" s="2948" t="str">
        <f>S43&amp;".1"</f>
        <v>...1</v>
      </c>
      <c r="J44" s="2055"/>
      <c r="K44" s="2055"/>
      <c r="L44" s="2056"/>
      <c r="P44" s="2949">
        <v>1</v>
      </c>
      <c r="Q44" s="2046"/>
      <c r="R44" s="1048"/>
      <c r="S44" s="2050" t="str">
        <f>$I44</f>
        <v>...1</v>
      </c>
      <c r="T44" s="977" t="s">
        <v>557</v>
      </c>
      <c r="U44" s="992"/>
      <c r="V44" s="3042"/>
      <c r="W44" s="3043"/>
      <c r="X44" s="3043"/>
      <c r="Y44" s="3043"/>
      <c r="Z44" s="3043"/>
      <c r="AA44" s="3043"/>
      <c r="AB44" s="3044"/>
      <c r="AC44" s="3045"/>
      <c r="AD44" s="3046"/>
      <c r="AE44" s="3046"/>
      <c r="AF44" s="3046"/>
      <c r="AG44" s="3046"/>
      <c r="AH44" s="3046"/>
      <c r="AI44" s="3046"/>
      <c r="AJ44" s="3047"/>
      <c r="AK44" s="1950" t="s">
        <v>558</v>
      </c>
      <c r="AM44" s="1192"/>
      <c r="AN44" s="1192" t="str">
        <f>IF(T44="","",T44)</f>
        <v>Наименование признака дифференциации</v>
      </c>
      <c r="AO44" s="1192"/>
      <c r="AP44" s="1192"/>
      <c r="AQ44" s="1847">
        <v>23</v>
      </c>
    </row>
    <row customHeight="1" ht="24">
      <c r="A45" s="2055" t="s">
        <v>301</v>
      </c>
      <c r="B45" s="2055" t="s">
        <v>302</v>
      </c>
      <c r="C45" s="2055" t="s">
        <v>303</v>
      </c>
      <c r="D45" s="2055" t="s">
        <v>569</v>
      </c>
      <c r="E45" s="2951"/>
      <c r="F45" s="2951"/>
      <c r="G45" s="2951"/>
      <c r="H45" s="2951"/>
      <c r="I45" s="2978"/>
      <c r="J45" s="2948" t="str">
        <f>I44&amp;".1"</f>
        <v>...1.1</v>
      </c>
      <c r="K45" s="2055"/>
      <c r="L45" s="2056" t="s">
        <v>481</v>
      </c>
      <c r="P45" s="2949"/>
      <c r="Q45" s="2949">
        <v>1</v>
      </c>
      <c r="R45" s="1049"/>
      <c r="S45" s="2050" t="str">
        <f>$J45</f>
        <v>...1.1</v>
      </c>
      <c r="T45" s="978" t="s">
        <v>482</v>
      </c>
      <c r="U45" s="992"/>
      <c r="V45" s="2937"/>
      <c r="W45" s="2938"/>
      <c r="X45" s="2938"/>
      <c r="Y45" s="2938"/>
      <c r="Z45" s="2938"/>
      <c r="AA45" s="2938"/>
      <c r="AB45" s="2939"/>
      <c r="AC45" s="2937"/>
      <c r="AD45" s="2938"/>
      <c r="AE45" s="2938"/>
      <c r="AF45" s="2938"/>
      <c r="AG45" s="2938"/>
      <c r="AH45" s="2938"/>
      <c r="AI45" s="2938"/>
      <c r="AJ45" s="2939"/>
      <c r="AK45" s="1999" t="s">
        <v>559</v>
      </c>
      <c r="AM45" s="1192"/>
      <c r="AN45" s="1192" t="str">
        <f>IF(T45="","",T45)</f>
        <v>Группа потребителей</v>
      </c>
      <c r="AO45" s="1192"/>
      <c r="AP45" s="1192"/>
      <c r="AQ45" s="1847">
        <v>23</v>
      </c>
    </row>
    <row customHeight="1" ht="24">
      <c r="A46" s="2055" t="s">
        <v>301</v>
      </c>
      <c r="B46" s="2055" t="s">
        <v>302</v>
      </c>
      <c r="C46" s="2055" t="s">
        <v>303</v>
      </c>
      <c r="D46" s="2055" t="s">
        <v>569</v>
      </c>
      <c r="E46" s="2951"/>
      <c r="F46" s="2951"/>
      <c r="G46" s="2951"/>
      <c r="H46" s="2951"/>
      <c r="I46" s="2978"/>
      <c r="J46" s="2978"/>
      <c r="K46" s="2948" t="str">
        <f>J45&amp;".1"</f>
        <v>...1.1.1</v>
      </c>
      <c r="L46" s="2056"/>
      <c r="P46" s="2949"/>
      <c r="Q46" s="2949"/>
      <c r="R46" s="1049">
        <v>1</v>
      </c>
      <c r="S46" s="2050" t="str">
        <f>$K46</f>
        <v>...1.1.1</v>
      </c>
      <c r="T46" s="2129"/>
      <c r="U46" s="992"/>
      <c r="V46" s="2052"/>
      <c r="W46" s="2052"/>
      <c r="X46" s="2053"/>
      <c r="Y46" s="2959"/>
      <c r="Z46" s="2960" t="s">
        <v>67</v>
      </c>
      <c r="AA46" s="2959"/>
      <c r="AB46" s="2960" t="s">
        <v>67</v>
      </c>
      <c r="AC46" s="1443"/>
      <c r="AD46" s="1443"/>
      <c r="AE46" s="1949"/>
      <c r="AF46" s="2957"/>
      <c r="AG46" s="2799" t="s">
        <v>67</v>
      </c>
      <c r="AH46" s="2979"/>
      <c r="AI46" s="2799" t="s">
        <v>19</v>
      </c>
      <c r="AJ46" s="2130"/>
      <c r="AK46"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03">
        <f>STRCHECKDATE(V47:AJ47)</f>
      </c>
      <c r="AM46" s="1192"/>
      <c r="AN46" s="1192" t="str">
        <f>IF(T46="","",T46)</f>
        <v/>
      </c>
      <c r="AO46" s="1192"/>
      <c r="AP46" s="1192"/>
      <c r="AQ46" s="1847">
        <v>23</v>
      </c>
    </row>
    <row customHeight="1" ht="0">
      <c r="A47" s="2055" t="s">
        <v>301</v>
      </c>
      <c r="B47" s="2055" t="s">
        <v>302</v>
      </c>
      <c r="C47" s="2055" t="s">
        <v>303</v>
      </c>
      <c r="D47" s="2055" t="s">
        <v>569</v>
      </c>
      <c r="E47" s="2951"/>
      <c r="F47" s="2951"/>
      <c r="G47" s="2951"/>
      <c r="H47" s="2951"/>
      <c r="I47" s="2978"/>
      <c r="J47" s="2978"/>
      <c r="K47" s="2948"/>
      <c r="L47" s="2056"/>
      <c r="P47" s="2949"/>
      <c r="Q47" s="2949"/>
      <c r="R47" s="1049"/>
      <c r="S47" s="2051"/>
      <c r="T47" s="992"/>
      <c r="U47" s="992"/>
      <c r="V47" s="2052"/>
      <c r="W47" s="2052"/>
      <c r="X47" s="1020" t="str">
        <f>Y46&amp;"-"&amp;AA46</f>
        <v>-</v>
      </c>
      <c r="Y47" s="2960"/>
      <c r="Z47" s="2960"/>
      <c r="AA47" s="2960"/>
      <c r="AB47" s="2960"/>
      <c r="AC47" s="1017"/>
      <c r="AD47" s="1017"/>
      <c r="AE47" s="1020" t="str">
        <f>AF46&amp;"-"&amp;AH46</f>
        <v>-</v>
      </c>
      <c r="AF47" s="2958"/>
      <c r="AG47" s="2799"/>
      <c r="AH47" s="2980"/>
      <c r="AI47" s="2799"/>
      <c r="AJ47" s="2131"/>
      <c r="AK47" s="3041"/>
      <c r="AM47" s="1192"/>
      <c r="AN47" s="1192" t="str">
        <f>IF(T47="","",T47)</f>
        <v/>
      </c>
      <c r="AO47" s="1192"/>
      <c r="AP47" s="1192"/>
      <c r="AQ47" s="1847">
        <v>0</v>
      </c>
    </row>
    <row customHeight="1" ht="21">
      <c r="A48" s="2055" t="s">
        <v>301</v>
      </c>
      <c r="B48" s="2055" t="s">
        <v>302</v>
      </c>
      <c r="C48" s="2055" t="s">
        <v>303</v>
      </c>
      <c r="D48" s="2055" t="s">
        <v>569</v>
      </c>
      <c r="E48" s="2951"/>
      <c r="F48" s="2951"/>
      <c r="G48" s="2951"/>
      <c r="H48" s="2951"/>
      <c r="I48" s="2978"/>
      <c r="J48" s="2948"/>
      <c r="K48" s="2055"/>
      <c r="L48" s="2056"/>
      <c r="P48" s="2949"/>
      <c r="Q48" s="2949"/>
      <c r="R48" s="1048"/>
      <c r="S48" s="1970"/>
      <c r="T48" s="979" t="s">
        <v>560</v>
      </c>
      <c r="U48" s="1059"/>
      <c r="V48" s="1059"/>
      <c r="W48" s="1059"/>
      <c r="X48" s="1059"/>
      <c r="Y48" s="1059"/>
      <c r="Z48" s="1059"/>
      <c r="AA48" s="1059"/>
      <c r="AB48" s="1059"/>
      <c r="AC48" s="1059"/>
      <c r="AD48" s="1059"/>
      <c r="AE48" s="1059"/>
      <c r="AF48" s="1059"/>
      <c r="AG48" s="1059"/>
      <c r="AH48" s="1059"/>
      <c r="AI48" s="1059"/>
      <c r="AJ48" s="1059"/>
      <c r="AK48" s="1950" t="s">
        <v>561</v>
      </c>
      <c r="AM48" s="1192"/>
      <c r="AN48" s="1192" t="str">
        <f>IF(T48="","",T48)</f>
        <v>Добавить значение признака дифференциации</v>
      </c>
      <c r="AO48" s="1192"/>
      <c r="AP48" s="1192"/>
      <c r="AQ48" s="1847">
        <v>20</v>
      </c>
    </row>
    <row customHeight="1" ht="22.049999999999997">
      <c r="A49" s="2055" t="s">
        <v>301</v>
      </c>
      <c r="B49" s="2055" t="s">
        <v>302</v>
      </c>
      <c r="C49" s="2055" t="s">
        <v>303</v>
      </c>
      <c r="D49" s="2055" t="s">
        <v>569</v>
      </c>
      <c r="E49" s="2951"/>
      <c r="F49" s="2951"/>
      <c r="G49" s="2951"/>
      <c r="H49" s="2951"/>
      <c r="I49" s="2948"/>
      <c r="J49" s="2055"/>
      <c r="K49" s="2055"/>
      <c r="L49" s="2056"/>
      <c r="P49" s="2949"/>
      <c r="Q49" s="2046"/>
      <c r="R49" s="1048"/>
      <c r="S49" s="1970"/>
      <c r="T49" s="1057" t="s">
        <v>487</v>
      </c>
      <c r="U49" s="1059"/>
      <c r="V49" s="1059"/>
      <c r="W49" s="1059"/>
      <c r="X49" s="1059"/>
      <c r="Y49" s="1059"/>
      <c r="Z49" s="1059"/>
      <c r="AA49" s="1059"/>
      <c r="AB49" s="1058"/>
      <c r="AC49" s="1059"/>
      <c r="AD49" s="1059"/>
      <c r="AE49" s="1059"/>
      <c r="AF49" s="1059"/>
      <c r="AG49" s="1059"/>
      <c r="AH49" s="1059"/>
      <c r="AI49" s="1058"/>
      <c r="AJ49" s="1059"/>
      <c r="AK49" s="2132"/>
      <c r="AM49" s="1192"/>
      <c r="AN49" s="1192" t="str">
        <f>IF(T49="","",T49)</f>
        <v>Добавить группу потребителей</v>
      </c>
      <c r="AO49" s="1192"/>
      <c r="AP49" s="1192"/>
      <c r="AQ49" s="1847">
        <v>21</v>
      </c>
    </row>
    <row customHeight="1" ht="22.049999999999997">
      <c r="A50" s="2055" t="s">
        <v>301</v>
      </c>
      <c r="B50" s="2055" t="s">
        <v>302</v>
      </c>
      <c r="C50" s="2055" t="s">
        <v>303</v>
      </c>
      <c r="D50" s="2055" t="s">
        <v>569</v>
      </c>
      <c r="E50" s="2951"/>
      <c r="F50" s="2951"/>
      <c r="G50" s="2951"/>
      <c r="H50" s="2950"/>
      <c r="I50" s="2055"/>
      <c r="J50" s="2055"/>
      <c r="K50" s="2055"/>
      <c r="L50" s="2056"/>
      <c r="M50" s="2057"/>
      <c r="N50" s="2057"/>
      <c r="O50" s="1229"/>
      <c r="P50" s="1052"/>
      <c r="Q50" s="1067"/>
      <c r="R50" s="1047"/>
      <c r="S50" s="1970"/>
      <c r="T50" s="1064" t="s">
        <v>562</v>
      </c>
      <c r="U50" s="1059"/>
      <c r="V50" s="1059"/>
      <c r="W50" s="1059"/>
      <c r="X50" s="1059"/>
      <c r="Y50" s="1059"/>
      <c r="Z50" s="1059"/>
      <c r="AA50" s="1059"/>
      <c r="AB50" s="1058"/>
      <c r="AC50" s="1059"/>
      <c r="AD50" s="1059"/>
      <c r="AE50" s="1059"/>
      <c r="AF50" s="1059"/>
      <c r="AG50" s="1059"/>
      <c r="AH50" s="1059"/>
      <c r="AI50" s="1058"/>
      <c r="AJ50" s="1059"/>
      <c r="AK50" s="995"/>
      <c r="AM50" s="1192"/>
      <c r="AN50" s="1192" t="str">
        <f>IF(T50="","",T50)</f>
        <v>Добавить наименование признака дифференциации</v>
      </c>
      <c r="AO50" s="1192"/>
      <c r="AP50" s="1192"/>
      <c r="AQ50" s="1847">
        <v>21</v>
      </c>
    </row>
    <row s="61695" customFormat="1" customHeight="1" ht="0">
      <c r="A51" s="2035" t="s">
        <v>301</v>
      </c>
      <c r="B51" s="2035" t="s">
        <v>302</v>
      </c>
      <c r="C51" s="2006"/>
      <c r="D51" s="2006"/>
      <c r="E51" s="2951"/>
      <c r="F51" s="2950"/>
      <c r="G51" s="2006"/>
      <c r="H51" s="2006"/>
      <c r="I51" s="2006"/>
      <c r="J51" s="2006"/>
      <c r="K51" s="2006"/>
      <c r="L51" s="2118"/>
      <c r="M51" s="2013"/>
      <c r="N51" s="2013"/>
      <c r="P51" s="2008"/>
      <c r="Q51" s="2009"/>
      <c r="R51" s="2008"/>
      <c r="S51" s="2014"/>
      <c r="T51" s="2017" t="s">
        <v>172</v>
      </c>
      <c r="U51" s="2016"/>
      <c r="V51" s="2016"/>
      <c r="W51" s="2016"/>
      <c r="X51" s="2016"/>
      <c r="Y51" s="2016"/>
      <c r="Z51" s="2016"/>
      <c r="AA51" s="2016"/>
      <c r="AB51" s="2016"/>
      <c r="AC51" s="2016"/>
      <c r="AD51" s="2016"/>
      <c r="AE51" s="2016"/>
      <c r="AF51" s="2016"/>
      <c r="AG51" s="2016"/>
      <c r="AH51" s="2016"/>
      <c r="AI51" s="2016"/>
      <c r="AJ51" s="2016"/>
      <c r="AK51" s="2016"/>
      <c r="AM51" s="1481"/>
      <c r="AN51" s="1481" t="str">
        <f>IF(T51="","",T51)</f>
        <v>Добавить централизованную систему для дифференциации</v>
      </c>
      <c r="AO51" s="1481"/>
      <c r="AP51" s="1481"/>
      <c r="AQ51" s="1210">
        <v>0</v>
      </c>
    </row>
    <row s="61695" customFormat="1" customHeight="1" ht="0">
      <c r="A52" s="2035" t="s">
        <v>301</v>
      </c>
      <c r="B52" s="2035"/>
      <c r="C52" s="2035"/>
      <c r="D52" s="2035"/>
      <c r="E52" s="2950"/>
      <c r="F52" s="2035"/>
      <c r="G52" s="2035"/>
      <c r="H52" s="2035"/>
      <c r="I52" s="2035"/>
      <c r="J52" s="2035"/>
      <c r="K52" s="2035"/>
      <c r="L52" s="2038"/>
      <c r="M52" s="2013"/>
      <c r="N52" s="2013"/>
      <c r="O52" s="1210"/>
      <c r="P52" s="1072"/>
      <c r="Q52" s="2036"/>
      <c r="R52" s="1072"/>
      <c r="S52" s="2014"/>
      <c r="T52" s="2017" t="s">
        <v>173</v>
      </c>
      <c r="U52" s="2016"/>
      <c r="V52" s="2016"/>
      <c r="W52" s="2016"/>
      <c r="X52" s="2016"/>
      <c r="Y52" s="2016"/>
      <c r="Z52" s="2016"/>
      <c r="AA52" s="2016"/>
      <c r="AB52" s="2016"/>
      <c r="AC52" s="2016"/>
      <c r="AD52" s="2016"/>
      <c r="AE52" s="2016"/>
      <c r="AF52" s="2016"/>
      <c r="AG52" s="2016"/>
      <c r="AH52" s="2016"/>
      <c r="AI52" s="2016"/>
      <c r="AJ52" s="2016"/>
      <c r="AK52" s="2016"/>
      <c r="AM52" s="1192"/>
      <c r="AN52" s="1192" t="str">
        <f>IF(T52="","",T52)</f>
        <v>Добавить территорию для дифференциации</v>
      </c>
      <c r="AO52" s="1192"/>
      <c r="AP52" s="1192"/>
      <c r="AQ52" s="1203">
        <v>0</v>
      </c>
    </row>
    <row s="61695" customFormat="1" customHeight="1" ht="0">
      <c r="A53" s="2006"/>
      <c r="B53" s="2006"/>
      <c r="C53" s="2006"/>
      <c r="D53" s="2006"/>
      <c r="E53" s="2035"/>
      <c r="F53" s="2006"/>
      <c r="G53" s="2006"/>
      <c r="H53" s="2006"/>
      <c r="I53" s="2006"/>
      <c r="J53" s="2006"/>
      <c r="K53" s="2006"/>
      <c r="L53" s="2118"/>
      <c r="M53" s="2013"/>
      <c r="N53" s="2013"/>
      <c r="P53" s="2008"/>
      <c r="Q53" s="2009"/>
      <c r="R53" s="2008"/>
      <c r="S53" s="2014"/>
      <c r="T53" s="2017" t="s">
        <v>186</v>
      </c>
      <c r="U53" s="2016"/>
      <c r="V53" s="2016"/>
      <c r="W53" s="2016"/>
      <c r="X53" s="2016"/>
      <c r="Y53" s="2016"/>
      <c r="Z53" s="2016"/>
      <c r="AA53" s="2016"/>
      <c r="AB53" s="2016"/>
      <c r="AC53" s="2016"/>
      <c r="AD53" s="2016"/>
      <c r="AE53" s="2016"/>
      <c r="AF53" s="2016"/>
      <c r="AG53" s="2016"/>
      <c r="AH53" s="2016"/>
      <c r="AI53" s="2016"/>
      <c r="AJ53" s="2016"/>
      <c r="AK53" s="2016"/>
      <c r="AM53" s="1481"/>
      <c r="AN53" s="1481" t="str">
        <f>IF(T53="","",T53)</f>
        <v>Добавить наименование тарифа</v>
      </c>
      <c r="AO53" s="1481"/>
      <c r="AP53" s="1481"/>
      <c r="AQ53" s="1210">
        <v>0</v>
      </c>
    </row>
    <row customHeight="1" ht="11.549999999999999">
      <c r="M54" s="1852"/>
      <c r="N54" s="1852"/>
      <c r="O54" s="1229"/>
      <c r="P54" s="1847"/>
      <c r="Q54" s="1847"/>
      <c r="R54" s="1847"/>
      <c r="S54" s="1847"/>
      <c r="AL54" s="1847"/>
      <c r="AM54" s="1847"/>
      <c r="AN54" s="1847"/>
      <c r="AO54" s="1847"/>
      <c r="AP54" s="1847"/>
      <c r="AQ54" s="1847">
        <v>11</v>
      </c>
    </row>
    <row customHeight="1" ht="14.699999999999998">
      <c r="O55" s="1229"/>
      <c r="S55" s="1945"/>
      <c r="T55" s="2977"/>
      <c r="U55" s="2977"/>
      <c r="V55" s="2977"/>
      <c r="W55" s="2977"/>
      <c r="X55" s="2977"/>
      <c r="Y55" s="2977"/>
      <c r="Z55" s="2977"/>
      <c r="AA55" s="2977"/>
      <c r="AB55" s="2977"/>
      <c r="AC55" s="2977"/>
      <c r="AD55" s="2977"/>
      <c r="AE55" s="2977"/>
      <c r="AF55" s="2977"/>
      <c r="AG55" s="2977"/>
      <c r="AH55" s="2977"/>
      <c r="AI55" s="2977"/>
      <c r="AJ55" s="2977"/>
      <c r="AK55" s="2977"/>
      <c r="AQ55" s="1847">
        <v>14</v>
      </c>
    </row>
    <row customHeight="1" ht="14.699999999999998">
      <c r="O56" s="1229"/>
      <c r="AQ56" s="1847">
        <v>14</v>
      </c>
    </row>
    <row customHeight="1" ht="14.699999999999998">
      <c r="O57" s="1229"/>
      <c r="S57" s="1945"/>
      <c r="T57" s="2977"/>
      <c r="U57" s="2977"/>
      <c r="V57" s="2977"/>
      <c r="W57" s="2977"/>
      <c r="X57" s="2977"/>
      <c r="Y57" s="2977"/>
      <c r="Z57" s="2977"/>
      <c r="AA57" s="2977"/>
      <c r="AB57" s="2977"/>
      <c r="AC57" s="2977"/>
      <c r="AD57" s="2977"/>
      <c r="AE57" s="2977"/>
      <c r="AF57" s="2977"/>
      <c r="AG57" s="2977"/>
      <c r="AH57" s="2977"/>
      <c r="AI57" s="2977"/>
      <c r="AJ57" s="2977"/>
      <c r="AK57" s="2977"/>
      <c r="AQ57" s="1847">
        <v>14</v>
      </c>
    </row>
    <row customHeight="1" ht="22.5" hidden="1">
      <c r="A58" s="1852" t="s">
        <v>83</v>
      </c>
      <c r="B58" s="1852">
        <v>0</v>
      </c>
      <c r="C58" s="1852">
        <v>0</v>
      </c>
      <c r="D58" s="1852">
        <v>0</v>
      </c>
      <c r="E58" s="1852">
        <v>0</v>
      </c>
      <c r="F58" s="1852">
        <v>0</v>
      </c>
      <c r="G58" s="1852">
        <v>0</v>
      </c>
      <c r="H58" s="1852">
        <v>0</v>
      </c>
      <c r="I58" s="1852">
        <v>0</v>
      </c>
      <c r="J58" s="1852">
        <v>0</v>
      </c>
      <c r="K58" s="1852">
        <v>0</v>
      </c>
      <c r="L58" s="2113">
        <v>0</v>
      </c>
      <c r="M58" s="2054">
        <v>0</v>
      </c>
      <c r="N58" s="2054">
        <v>0</v>
      </c>
      <c r="O58" s="2054">
        <v>0</v>
      </c>
      <c r="P58" s="2043">
        <v>3</v>
      </c>
      <c r="Q58" s="1036">
        <v>3</v>
      </c>
      <c r="R58" s="1036">
        <v>3</v>
      </c>
      <c r="S58" s="1273">
        <v>12</v>
      </c>
      <c r="T58" s="1847">
        <v>35</v>
      </c>
      <c r="U58" s="1847">
        <v>0</v>
      </c>
      <c r="V58" s="1847">
        <v>0</v>
      </c>
      <c r="W58" s="1847">
        <v>0</v>
      </c>
      <c r="X58" s="1847">
        <v>0</v>
      </c>
      <c r="Y58" s="1847">
        <v>0</v>
      </c>
      <c r="Z58" s="1847">
        <v>0</v>
      </c>
      <c r="AA58" s="1847">
        <v>0</v>
      </c>
      <c r="AB58" s="1847">
        <v>0</v>
      </c>
      <c r="AC58" s="1847">
        <v>24</v>
      </c>
      <c r="AD58" s="1847">
        <v>24</v>
      </c>
      <c r="AE58" s="1847">
        <v>24</v>
      </c>
      <c r="AF58" s="1847">
        <v>11</v>
      </c>
      <c r="AG58" s="1847">
        <v>3</v>
      </c>
      <c r="AH58" s="1847">
        <v>11</v>
      </c>
      <c r="AI58" s="1847">
        <v>0</v>
      </c>
      <c r="AJ58" s="1847">
        <v>4</v>
      </c>
      <c r="AK58" s="1847">
        <v>115</v>
      </c>
      <c r="AL58" s="1203">
        <v>10</v>
      </c>
      <c r="AM58" s="1203">
        <v>10</v>
      </c>
      <c r="AN58" s="1203">
        <v>10</v>
      </c>
      <c r="AO58" s="1203">
        <v>10</v>
      </c>
      <c r="AP58" s="1203">
        <v>10</v>
      </c>
      <c r="AQ58" s="1847">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B9D8DE-A6B7-657A-5D7A-CAB1A145D5C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4.140625" hidden="1" customWidth="1"/>
    <col min="10" max="10" style="62148" width="9.8515625" hidden="1" customWidth="1"/>
    <col min="11" max="11" style="62148" width="14.7109375" hidden="1" customWidth="1"/>
    <col min="12" max="12" style="63164" width="19.140625" hidden="1" customWidth="1"/>
    <col min="13" max="14" style="61371" width="12.28125" hidden="1" customWidth="1"/>
    <col min="15" max="15" style="61371" width="23.421875" hidden="1" customWidth="1"/>
    <col min="16" max="16" style="63184" width="3.00390625" customWidth="1"/>
    <col min="17" max="18" style="62288" width="3.00390625" customWidth="1"/>
    <col min="19" max="19" style="63156" width="12.00390625" customWidth="1"/>
    <col min="20" max="20" style="62286" width="35.00390625" customWidth="1"/>
    <col min="21" max="21" style="62286" width="0.140625" customWidth="1"/>
    <col min="22" max="24" style="62286" width="24.7109375" hidden="1" customWidth="1"/>
    <col min="25" max="25" style="62286" width="11.7109375" hidden="1" customWidth="1"/>
    <col min="26" max="26" style="62286" width="3.7109375" hidden="1" customWidth="1"/>
    <col min="27" max="27" style="62286" width="11.7109375" hidden="1" customWidth="1"/>
    <col min="28" max="28" style="62286" width="8.57421875" hidden="1" customWidth="1"/>
    <col min="29" max="29" style="62286" width="24.7109375" customWidth="1"/>
    <col min="30" max="31" style="62286" width="24.00390625" customWidth="1"/>
    <col min="32" max="32" style="62286" width="11.00390625" customWidth="1"/>
    <col min="33" max="33" style="62286" width="3.7109375" customWidth="1"/>
    <col min="34" max="34" style="62286" width="11.00390625" customWidth="1"/>
    <col min="35" max="35" style="62286" width="8.57421875" hidden="1" customWidth="1"/>
    <col min="36" max="36" style="62286" width="4.00390625" customWidth="1"/>
    <col min="37" max="37" style="62286" width="115.00390625" customWidth="1"/>
    <col min="38" max="42" style="61695" width="10.00390625" customWidth="1"/>
    <col min="43" max="43" style="62286" width="10.57421875" hidden="1"/>
  </cols>
  <sheetData>
    <row customHeight="1" ht="22.5" hidden="1">
      <c r="X1" s="1019"/>
      <c r="Y1" s="1019"/>
      <c r="AE1" s="1019"/>
      <c r="AF1" s="1019"/>
      <c r="AQ1" s="1847" t="s">
        <v>14</v>
      </c>
    </row>
    <row customHeight="1" ht="23.25" hidden="1">
      <c r="A2" s="2055"/>
      <c r="B2" s="2055"/>
      <c r="C2" s="2055"/>
      <c r="D2" s="2055"/>
      <c r="E2" s="2950">
        <v>1</v>
      </c>
      <c r="F2" s="2055"/>
      <c r="G2" s="2055"/>
      <c r="H2" s="2055"/>
      <c r="I2" s="2055"/>
      <c r="J2" s="2055"/>
      <c r="K2" s="2055"/>
      <c r="L2" s="2056"/>
      <c r="M2" s="2057"/>
      <c r="N2" s="2057"/>
      <c r="O2" s="2057"/>
      <c r="P2" s="1053"/>
      <c r="Q2" s="1052"/>
      <c r="R2" s="1047"/>
      <c r="S2" s="2149">
        <f>INDEX(PT_DIFFERENTIATION_NUM_NTAR,MATCH(A2,PT_DIFFERENTIATION_NTAR_ID,0))</f>
      </c>
      <c r="T2" s="990" t="s">
        <v>131</v>
      </c>
      <c r="U2" s="992"/>
      <c r="V2" s="2934"/>
      <c r="W2" s="2935"/>
      <c r="X2" s="2935"/>
      <c r="Y2" s="2935"/>
      <c r="Z2" s="2935"/>
      <c r="AA2" s="2935"/>
      <c r="AB2" s="2936"/>
      <c r="AC2" s="2934">
        <f>INDEX(PT_DIFFERENTIATION_NTAR,MATCH(A2,PT_DIFFERENTIATION_NTAR_ID,0))</f>
      </c>
      <c r="AD2" s="2935"/>
      <c r="AE2" s="2935"/>
      <c r="AF2" s="2935"/>
      <c r="AG2" s="2935"/>
      <c r="AH2" s="2935"/>
      <c r="AI2" s="2935"/>
      <c r="AJ2" s="2936"/>
      <c r="AK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92"/>
      <c r="AN2" s="1192" t="str">
        <f>IF(T2="","",T2)</f>
        <v>Наименование тарифа</v>
      </c>
      <c r="AO2" s="1192"/>
      <c r="AP2" s="1192"/>
      <c r="AQ2" s="1847">
        <v>0</v>
      </c>
    </row>
    <row customHeight="1" ht="23.25" hidden="1">
      <c r="A3" s="2055"/>
      <c r="B3" s="2055"/>
      <c r="C3" s="2055"/>
      <c r="D3" s="2055"/>
      <c r="E3" s="2951"/>
      <c r="F3" s="2950">
        <v>1</v>
      </c>
      <c r="G3" s="2055"/>
      <c r="H3" s="2055"/>
      <c r="I3" s="2055"/>
      <c r="J3" s="2055"/>
      <c r="K3" s="2055"/>
      <c r="L3" s="2056"/>
      <c r="M3" s="2057"/>
      <c r="N3" s="2057"/>
      <c r="O3" s="2057"/>
      <c r="P3" s="2145"/>
      <c r="Q3" s="1044"/>
      <c r="R3" s="1045"/>
      <c r="S3" s="2149">
        <f>INDEX(PT_DIFFERENTIATION_NUM_TER,MATCH(B3,PT_DIFFERENTIATION_TER_ID,0))</f>
      </c>
      <c r="T3" s="1000" t="s">
        <v>472</v>
      </c>
      <c r="U3" s="992"/>
      <c r="V3" s="2934"/>
      <c r="W3" s="2935"/>
      <c r="X3" s="2935"/>
      <c r="Y3" s="2935"/>
      <c r="Z3" s="2935"/>
      <c r="AA3" s="2935"/>
      <c r="AB3" s="2936"/>
      <c r="AC3" s="2934">
        <f>INDEX(PT_DIFFERENTIATION_TER,MATCH(B3,PT_DIFFERENTIATION_TER_ID,0))</f>
      </c>
      <c r="AD3" s="2935"/>
      <c r="AE3" s="2935"/>
      <c r="AF3" s="2935"/>
      <c r="AG3" s="2935"/>
      <c r="AH3" s="2935"/>
      <c r="AI3" s="2935"/>
      <c r="AJ3" s="2936"/>
      <c r="AK3" s="1950" t="s">
        <v>473</v>
      </c>
      <c r="AM3" s="1192"/>
      <c r="AN3" s="1192" t="str">
        <f>IF(T3="","",T3)</f>
        <v>Территория действия тарифа</v>
      </c>
      <c r="AO3" s="1192"/>
      <c r="AP3" s="1192"/>
      <c r="AQ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149">
        <f>INDEX(PT_DIFFERENTIATION_NUM_CS,MATCH(C4,PT_DIFFERENTIATION_CS_ID,0))</f>
      </c>
      <c r="T4" s="1001" t="s">
        <v>555</v>
      </c>
      <c r="U4" s="992"/>
      <c r="V4" s="2934"/>
      <c r="W4" s="2935"/>
      <c r="X4" s="2935"/>
      <c r="Y4" s="2935"/>
      <c r="Z4" s="2935"/>
      <c r="AA4" s="2935"/>
      <c r="AB4" s="2936"/>
      <c r="AC4" s="2934">
        <f>INDEX(PT_DIFFERENTIATION_CS,MATCH(C4,PT_DIFFERENTIATION_CS_ID,0))</f>
      </c>
      <c r="AD4" s="2935"/>
      <c r="AE4" s="2935"/>
      <c r="AF4" s="2935"/>
      <c r="AG4" s="2935"/>
      <c r="AH4" s="2935"/>
      <c r="AI4" s="2935"/>
      <c r="AJ4" s="2936"/>
      <c r="AK4" s="1950" t="s">
        <v>556</v>
      </c>
      <c r="AM4" s="1192"/>
      <c r="AN4" s="1192" t="str">
        <f>IF(T4="","",T4)</f>
        <v>Наименование централизованной системы холодного водоснабжения</v>
      </c>
      <c r="AO4" s="1192"/>
      <c r="AP4" s="1192"/>
      <c r="AQ4" s="1847">
        <v>0</v>
      </c>
    </row>
    <row customHeight="1" ht="23.25" hidden="1">
      <c r="A5" s="2055"/>
      <c r="B5" s="2055"/>
      <c r="C5" s="2055"/>
      <c r="D5" s="2055"/>
      <c r="E5" s="2951"/>
      <c r="F5" s="2951"/>
      <c r="G5" s="2951"/>
      <c r="H5" s="2951"/>
      <c r="I5" s="2948">
        <f>S4&amp;".1"</f>
      </c>
      <c r="J5" s="2055"/>
      <c r="K5" s="2055"/>
      <c r="L5" s="2056"/>
      <c r="P5" s="2949">
        <v>1</v>
      </c>
      <c r="Q5" s="2142"/>
      <c r="R5" s="1048"/>
      <c r="S5" s="2149">
        <f>$I5</f>
      </c>
      <c r="T5" s="977" t="s">
        <v>557</v>
      </c>
      <c r="U5" s="992"/>
      <c r="V5" s="3042"/>
      <c r="W5" s="3043"/>
      <c r="X5" s="3043"/>
      <c r="Y5" s="3043"/>
      <c r="Z5" s="3043"/>
      <c r="AA5" s="3043"/>
      <c r="AB5" s="3044"/>
      <c r="AC5" s="3045"/>
      <c r="AD5" s="3046"/>
      <c r="AE5" s="3046"/>
      <c r="AF5" s="3046"/>
      <c r="AG5" s="3046"/>
      <c r="AH5" s="3046"/>
      <c r="AI5" s="3046"/>
      <c r="AJ5" s="3047"/>
      <c r="AK5" s="1950" t="s">
        <v>558</v>
      </c>
      <c r="AM5" s="1192"/>
      <c r="AN5" s="1192" t="str">
        <f>IF(T5="","",T5)</f>
        <v>Наименование признака дифференциации</v>
      </c>
      <c r="AO5" s="1192"/>
      <c r="AP5" s="1192"/>
      <c r="AQ5" s="1847">
        <v>0</v>
      </c>
    </row>
    <row customHeight="1" ht="23.25" hidden="1">
      <c r="A6" s="2055"/>
      <c r="B6" s="2055"/>
      <c r="C6" s="2055"/>
      <c r="D6" s="2055"/>
      <c r="E6" s="2951"/>
      <c r="F6" s="2951"/>
      <c r="G6" s="2951"/>
      <c r="H6" s="2951"/>
      <c r="I6" s="2978"/>
      <c r="J6" s="2948">
        <f>I5&amp;".1"</f>
      </c>
      <c r="K6" s="2055"/>
      <c r="L6" s="2056" t="s">
        <v>481</v>
      </c>
      <c r="P6" s="2949"/>
      <c r="Q6" s="2949">
        <v>1</v>
      </c>
      <c r="R6" s="1049"/>
      <c r="S6" s="2149">
        <f>$J6</f>
      </c>
      <c r="T6" s="978" t="s">
        <v>482</v>
      </c>
      <c r="U6" s="992"/>
      <c r="V6" s="2937"/>
      <c r="W6" s="2938"/>
      <c r="X6" s="2938"/>
      <c r="Y6" s="2938"/>
      <c r="Z6" s="2938"/>
      <c r="AA6" s="2938"/>
      <c r="AB6" s="2939"/>
      <c r="AC6" s="2937"/>
      <c r="AD6" s="2938"/>
      <c r="AE6" s="2938"/>
      <c r="AF6" s="2938"/>
      <c r="AG6" s="2938"/>
      <c r="AH6" s="2938"/>
      <c r="AI6" s="2938"/>
      <c r="AJ6" s="2939"/>
      <c r="AK6" s="1999" t="s">
        <v>559</v>
      </c>
      <c r="AM6" s="1192"/>
      <c r="AN6" s="1192" t="str">
        <f>IF(T6="","",T6)</f>
        <v>Группа потребителей</v>
      </c>
      <c r="AO6" s="1192"/>
      <c r="AP6" s="1192"/>
      <c r="AQ6" s="1847">
        <v>0</v>
      </c>
    </row>
    <row customHeight="1" ht="23.25" hidden="1">
      <c r="A7" s="2055"/>
      <c r="B7" s="2055"/>
      <c r="C7" s="2055"/>
      <c r="D7" s="2055"/>
      <c r="E7" s="2951"/>
      <c r="F7" s="2951"/>
      <c r="G7" s="2951"/>
      <c r="H7" s="2951"/>
      <c r="I7" s="2978"/>
      <c r="J7" s="2978"/>
      <c r="K7" s="2948">
        <f>J6&amp;".1"</f>
      </c>
      <c r="L7" s="2056"/>
      <c r="P7" s="2949"/>
      <c r="Q7" s="2949"/>
      <c r="R7" s="1049">
        <v>1</v>
      </c>
      <c r="S7" s="2149">
        <f>$K7</f>
      </c>
      <c r="T7" s="2129"/>
      <c r="U7" s="992"/>
      <c r="V7" s="1443"/>
      <c r="W7" s="1443"/>
      <c r="X7" s="1949"/>
      <c r="Y7" s="2957"/>
      <c r="Z7" s="2799" t="s">
        <v>67</v>
      </c>
      <c r="AA7" s="2957"/>
      <c r="AB7" s="2799" t="s">
        <v>67</v>
      </c>
      <c r="AC7" s="1443"/>
      <c r="AD7" s="1443"/>
      <c r="AE7" s="1949"/>
      <c r="AF7" s="2957"/>
      <c r="AG7" s="2799" t="s">
        <v>67</v>
      </c>
      <c r="AH7" s="2979"/>
      <c r="AI7" s="2799" t="s">
        <v>67</v>
      </c>
      <c r="AJ7" s="2130"/>
      <c r="AK7"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03">
        <f>STRCHECKDATE(V8:AJ8)</f>
      </c>
      <c r="AM7" s="1192"/>
      <c r="AN7" s="1192" t="str">
        <f>IF(T7="","",T7)</f>
        <v/>
      </c>
      <c r="AO7" s="1192"/>
      <c r="AP7" s="1192"/>
      <c r="AQ7" s="1847">
        <v>0</v>
      </c>
    </row>
    <row customHeight="1" ht="14.25" hidden="1">
      <c r="A8" s="2055"/>
      <c r="B8" s="2055"/>
      <c r="C8" s="2055"/>
      <c r="D8" s="2055"/>
      <c r="E8" s="2951"/>
      <c r="F8" s="2951"/>
      <c r="G8" s="2951"/>
      <c r="H8" s="2951"/>
      <c r="I8" s="2978"/>
      <c r="J8" s="2978"/>
      <c r="K8" s="2948"/>
      <c r="L8" s="2056"/>
      <c r="P8" s="2949"/>
      <c r="Q8" s="2949"/>
      <c r="R8" s="1049"/>
      <c r="S8" s="2148"/>
      <c r="T8" s="992"/>
      <c r="U8" s="992"/>
      <c r="V8" s="1017"/>
      <c r="W8" s="1017"/>
      <c r="X8" s="1020" t="str">
        <f>Y7&amp;"-"&amp;AA7</f>
        <v>-</v>
      </c>
      <c r="Y8" s="2958"/>
      <c r="Z8" s="2799"/>
      <c r="AA8" s="2958"/>
      <c r="AB8" s="2799"/>
      <c r="AC8" s="1017"/>
      <c r="AD8" s="1017"/>
      <c r="AE8" s="1020" t="str">
        <f>AF7&amp;"-"&amp;AH7</f>
        <v>-</v>
      </c>
      <c r="AF8" s="2958"/>
      <c r="AG8" s="2799"/>
      <c r="AH8" s="2980"/>
      <c r="AI8" s="2799"/>
      <c r="AJ8" s="2131"/>
      <c r="AK8" s="3041"/>
      <c r="AM8" s="1192"/>
      <c r="AN8" s="1192" t="str">
        <f>IF(T8="","",T8)</f>
        <v/>
      </c>
      <c r="AO8" s="1192"/>
      <c r="AP8" s="1192"/>
      <c r="AQ8" s="1847">
        <v>0</v>
      </c>
    </row>
    <row customHeight="1" ht="21" hidden="1">
      <c r="A9" s="2055"/>
      <c r="B9" s="2055"/>
      <c r="C9" s="2055"/>
      <c r="D9" s="2055"/>
      <c r="E9" s="2951"/>
      <c r="F9" s="2951"/>
      <c r="G9" s="2951"/>
      <c r="H9" s="2951"/>
      <c r="I9" s="2978"/>
      <c r="J9" s="2948"/>
      <c r="K9" s="2055"/>
      <c r="L9" s="2056"/>
      <c r="P9" s="2949"/>
      <c r="Q9" s="2949"/>
      <c r="R9" s="1048"/>
      <c r="S9" s="1970"/>
      <c r="T9" s="979" t="s">
        <v>560</v>
      </c>
      <c r="U9" s="1059"/>
      <c r="V9" s="1059"/>
      <c r="W9" s="1059"/>
      <c r="X9" s="1059"/>
      <c r="Y9" s="1059"/>
      <c r="Z9" s="1059"/>
      <c r="AA9" s="1059"/>
      <c r="AB9" s="1059"/>
      <c r="AC9" s="1059"/>
      <c r="AD9" s="1059"/>
      <c r="AE9" s="1059"/>
      <c r="AF9" s="1059"/>
      <c r="AG9" s="1059"/>
      <c r="AH9" s="1059"/>
      <c r="AI9" s="1059"/>
      <c r="AJ9" s="1059"/>
      <c r="AK9" s="1950" t="s">
        <v>561</v>
      </c>
      <c r="AM9" s="1192"/>
      <c r="AN9" s="1192" t="str">
        <f>IF(T9="","",T9)</f>
        <v>Добавить значение признака дифференциации</v>
      </c>
      <c r="AO9" s="1192"/>
      <c r="AP9" s="1192"/>
      <c r="AQ9" s="1847">
        <v>0</v>
      </c>
    </row>
    <row customHeight="1" ht="21" hidden="1">
      <c r="A10" s="2055"/>
      <c r="B10" s="2055"/>
      <c r="C10" s="2055"/>
      <c r="D10" s="2055"/>
      <c r="E10" s="2951"/>
      <c r="F10" s="2951"/>
      <c r="G10" s="2951"/>
      <c r="H10" s="2951"/>
      <c r="I10" s="2948"/>
      <c r="J10" s="2055"/>
      <c r="K10" s="2055"/>
      <c r="L10" s="2056"/>
      <c r="P10" s="2949"/>
      <c r="Q10" s="2142"/>
      <c r="R10" s="1048"/>
      <c r="S10" s="1970"/>
      <c r="T10" s="1057" t="s">
        <v>487</v>
      </c>
      <c r="U10" s="1059"/>
      <c r="V10" s="1059"/>
      <c r="W10" s="1059"/>
      <c r="X10" s="1059"/>
      <c r="Y10" s="1059"/>
      <c r="Z10" s="1059"/>
      <c r="AA10" s="1059"/>
      <c r="AB10" s="1058"/>
      <c r="AC10" s="1059"/>
      <c r="AD10" s="1059"/>
      <c r="AE10" s="1059"/>
      <c r="AF10" s="1059"/>
      <c r="AG10" s="1059"/>
      <c r="AH10" s="1059"/>
      <c r="AI10" s="1058"/>
      <c r="AJ10" s="1059"/>
      <c r="AK10" s="2132"/>
      <c r="AM10" s="1192"/>
      <c r="AN10" s="1192" t="str">
        <f>IF(T10="","",T10)</f>
        <v>Добавить группу потребителей</v>
      </c>
      <c r="AO10" s="1192"/>
      <c r="AP10" s="1192"/>
      <c r="AQ10" s="1847">
        <v>0</v>
      </c>
    </row>
    <row customHeight="1" ht="21" hidden="1">
      <c r="A11" s="2055"/>
      <c r="B11" s="2055"/>
      <c r="C11" s="2055"/>
      <c r="D11" s="2055"/>
      <c r="E11" s="2951"/>
      <c r="F11" s="2951"/>
      <c r="G11" s="2951"/>
      <c r="H11" s="2950"/>
      <c r="I11" s="2055"/>
      <c r="J11" s="2055"/>
      <c r="K11" s="2055"/>
      <c r="L11" s="2056"/>
      <c r="M11" s="2057"/>
      <c r="N11" s="2057"/>
      <c r="O11" s="1229"/>
      <c r="P11" s="1052"/>
      <c r="Q11" s="1067"/>
      <c r="R11" s="1047"/>
      <c r="S11" s="1970"/>
      <c r="T11" s="1064" t="s">
        <v>562</v>
      </c>
      <c r="U11" s="1059"/>
      <c r="V11" s="1059"/>
      <c r="W11" s="1059"/>
      <c r="X11" s="1059"/>
      <c r="Y11" s="1059"/>
      <c r="Z11" s="1059"/>
      <c r="AA11" s="1059"/>
      <c r="AB11" s="1058"/>
      <c r="AC11" s="1059"/>
      <c r="AD11" s="1059"/>
      <c r="AE11" s="1059"/>
      <c r="AF11" s="1059"/>
      <c r="AG11" s="1059"/>
      <c r="AH11" s="1059"/>
      <c r="AI11" s="1058"/>
      <c r="AJ11" s="1059"/>
      <c r="AK11" s="995"/>
      <c r="AM11" s="1192"/>
      <c r="AN11" s="1192" t="str">
        <f>IF(T11="","",T11)</f>
        <v>Добавить наименование признака дифференциации</v>
      </c>
      <c r="AO11" s="1192"/>
      <c r="AP11" s="1192"/>
      <c r="AQ11" s="1847">
        <v>0</v>
      </c>
    </row>
    <row s="61695" customFormat="1" customHeight="1" ht="14.25" hidden="1">
      <c r="A12" s="2035"/>
      <c r="B12" s="2035"/>
      <c r="C12" s="2006"/>
      <c r="D12" s="2006"/>
      <c r="E12" s="2951"/>
      <c r="F12" s="2950"/>
      <c r="G12" s="2006"/>
      <c r="H12" s="2006"/>
      <c r="I12" s="2006"/>
      <c r="J12" s="2006"/>
      <c r="K12" s="2006"/>
      <c r="L12" s="2150"/>
      <c r="M12" s="2013"/>
      <c r="N12" s="2013"/>
      <c r="P12" s="2008"/>
      <c r="Q12" s="2009"/>
      <c r="R12" s="2008"/>
      <c r="S12" s="2014"/>
      <c r="T12" s="2017" t="s">
        <v>172</v>
      </c>
      <c r="U12" s="2016"/>
      <c r="V12" s="2016"/>
      <c r="W12" s="2016"/>
      <c r="X12" s="2016"/>
      <c r="Y12" s="2016"/>
      <c r="Z12" s="2016"/>
      <c r="AA12" s="2016"/>
      <c r="AB12" s="2016"/>
      <c r="AC12" s="2016"/>
      <c r="AD12" s="2016"/>
      <c r="AE12" s="2016"/>
      <c r="AF12" s="2016"/>
      <c r="AG12" s="2016"/>
      <c r="AH12" s="2016"/>
      <c r="AI12" s="2016"/>
      <c r="AJ12" s="2016"/>
      <c r="AK12" s="2016"/>
      <c r="AM12" s="1481"/>
      <c r="AN12" s="1481" t="str">
        <f>IF(T12="","",T12)</f>
        <v>Добавить централизованную систему для дифференциации</v>
      </c>
      <c r="AO12" s="1481"/>
      <c r="AP12" s="1481"/>
      <c r="AQ12" s="1210">
        <v>0</v>
      </c>
    </row>
    <row s="61695" customFormat="1" customHeight="1" ht="14.25" hidden="1">
      <c r="A13" s="2035"/>
      <c r="B13" s="2035"/>
      <c r="C13" s="2035"/>
      <c r="D13" s="2035"/>
      <c r="E13" s="2950"/>
      <c r="F13" s="2035"/>
      <c r="G13" s="2035"/>
      <c r="H13" s="2035"/>
      <c r="I13" s="2035"/>
      <c r="J13" s="2035"/>
      <c r="K13" s="2035"/>
      <c r="L13" s="2038"/>
      <c r="M13" s="2013"/>
      <c r="N13" s="2013"/>
      <c r="O13" s="1210"/>
      <c r="P13" s="1072"/>
      <c r="Q13" s="2036"/>
      <c r="R13" s="1072"/>
      <c r="S13" s="2014"/>
      <c r="T13" s="2017" t="s">
        <v>173</v>
      </c>
      <c r="U13" s="2016"/>
      <c r="V13" s="2016"/>
      <c r="W13" s="2016"/>
      <c r="X13" s="2016"/>
      <c r="Y13" s="2016"/>
      <c r="Z13" s="2016"/>
      <c r="AA13" s="2016"/>
      <c r="AB13" s="2016"/>
      <c r="AC13" s="2016"/>
      <c r="AD13" s="2016"/>
      <c r="AE13" s="2016"/>
      <c r="AF13" s="2016"/>
      <c r="AG13" s="2016"/>
      <c r="AH13" s="2016"/>
      <c r="AI13" s="2016"/>
      <c r="AJ13" s="2016"/>
      <c r="AK13" s="2016"/>
      <c r="AM13" s="1192"/>
      <c r="AN13" s="1192" t="str">
        <f>IF(T13="","",T13)</f>
        <v>Добавить территорию для дифференциации</v>
      </c>
      <c r="AO13" s="1192"/>
      <c r="AP13" s="1192"/>
      <c r="AQ13" s="1203">
        <v>0</v>
      </c>
    </row>
    <row customHeight="1" ht="14.25" hidden="1">
      <c r="AB14" s="1019"/>
      <c r="AI14" s="1019"/>
      <c r="AQ14" s="1847">
        <v>0</v>
      </c>
    </row>
    <row customHeight="1" ht="14.25" hidden="1">
      <c r="AC15" s="2052"/>
      <c r="AD15" s="2052"/>
      <c r="AE15" s="2053"/>
      <c r="AF15" s="2959"/>
      <c r="AG15" s="2960" t="s">
        <v>67</v>
      </c>
      <c r="AH15" s="2959"/>
      <c r="AI15" s="2960" t="s">
        <v>67</v>
      </c>
      <c r="AQ15" s="1847">
        <v>0</v>
      </c>
    </row>
    <row customHeight="1" ht="14.25" hidden="1">
      <c r="AC16" s="2052"/>
      <c r="AD16" s="2052"/>
      <c r="AE16" s="1020" t="str">
        <f>AF15&amp;"-"&amp;AH15</f>
        <v>-</v>
      </c>
      <c r="AF16" s="2960"/>
      <c r="AG16" s="2960"/>
      <c r="AH16" s="2960"/>
      <c r="AI16" s="2960"/>
      <c r="AQ16" s="1847">
        <v>0</v>
      </c>
    </row>
    <row customHeight="1" ht="14.25" hidden="1">
      <c r="AI17" s="1019"/>
      <c r="AQ17" s="1847">
        <v>0</v>
      </c>
    </row>
    <row s="62148" customFormat="1" customHeight="1" ht="22.5" hidden="1">
      <c r="L18" s="2139"/>
      <c r="M18" s="2054"/>
      <c r="N18" s="2054"/>
      <c r="O18" s="2059" t="s">
        <v>489</v>
      </c>
      <c r="P18" s="2054"/>
      <c r="Q18" s="2063"/>
      <c r="R18" s="2063"/>
      <c r="S18" s="1421"/>
      <c r="Y18" s="2059"/>
      <c r="AA18" s="2059"/>
      <c r="AB18" s="2058"/>
      <c r="AF18" s="2059"/>
      <c r="AH18" s="2059"/>
      <c r="AI18" s="2058"/>
      <c r="AL18" s="1203"/>
      <c r="AM18" s="1203"/>
      <c r="AN18" s="1203"/>
      <c r="AO18" s="1203"/>
      <c r="AP18" s="1203"/>
      <c r="AQ18" s="1852">
        <v>0</v>
      </c>
    </row>
    <row s="62148" customFormat="1" customHeight="1" ht="14.25" hidden="1">
      <c r="L19" s="2139"/>
      <c r="M19" s="2054"/>
      <c r="N19" s="2054"/>
      <c r="O19" s="2054"/>
      <c r="P19" s="2054"/>
      <c r="Q19" s="2063"/>
      <c r="R19" s="2063"/>
      <c r="S19" s="1421"/>
      <c r="AB19" s="2058"/>
      <c r="AI19" s="2058"/>
      <c r="AL19" s="1203"/>
      <c r="AM19" s="1203"/>
      <c r="AN19" s="1203"/>
      <c r="AO19" s="1203"/>
      <c r="AP19" s="1203"/>
      <c r="AQ19" s="1852">
        <v>0</v>
      </c>
    </row>
    <row s="62148" customFormat="1" customHeight="1" ht="12" hidden="1">
      <c r="L20" s="2139"/>
      <c r="M20" s="2054"/>
      <c r="N20" s="2054"/>
      <c r="O20" s="2056" t="s">
        <v>490</v>
      </c>
      <c r="P20" s="2054"/>
      <c r="Q20" s="2134"/>
      <c r="R20" s="2134"/>
      <c r="S20" s="1421"/>
      <c r="T20" s="1852" t="s">
        <v>491</v>
      </c>
      <c r="Z20" s="878" t="s">
        <v>492</v>
      </c>
      <c r="AB20" s="878" t="s">
        <v>493</v>
      </c>
      <c r="AC20" s="1852" t="s">
        <v>491</v>
      </c>
      <c r="AG20" s="878" t="s">
        <v>494</v>
      </c>
      <c r="AI20" s="878" t="s">
        <v>493</v>
      </c>
      <c r="AQ20" s="1852">
        <v>0</v>
      </c>
    </row>
    <row customHeight="1" ht="14.25" hidden="1">
      <c r="O21" s="2056"/>
      <c r="AQ21" s="1847">
        <v>0</v>
      </c>
    </row>
    <row customHeight="1" ht="14.25" hidden="1">
      <c r="O22" s="2056"/>
      <c r="AQ22" s="1847">
        <v>0</v>
      </c>
    </row>
    <row customHeight="1" ht="14.699999999999998">
      <c r="Q23" s="1068"/>
      <c r="R23" s="1068"/>
      <c r="S23" s="1967"/>
      <c r="T23" s="1055"/>
      <c r="U23" s="1055"/>
      <c r="V23" s="1201"/>
      <c r="W23" s="1201"/>
      <c r="X23" s="1201"/>
      <c r="Y23" s="1201"/>
      <c r="Z23" s="1201"/>
      <c r="AA23" s="1201"/>
      <c r="AB23" s="1201"/>
      <c r="AC23" s="1201"/>
      <c r="AD23" s="1201"/>
      <c r="AE23" s="1201"/>
      <c r="AF23" s="1201"/>
      <c r="AG23" s="1201"/>
      <c r="AH23" s="1201"/>
      <c r="AI23" s="1201"/>
      <c r="AQ23" s="1847">
        <v>14</v>
      </c>
    </row>
    <row customHeight="1" ht="14.699999999999998">
      <c r="Q24" s="1068"/>
      <c r="R24" s="1068"/>
      <c r="S24" s="294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40"/>
      <c r="U24" s="2940"/>
      <c r="V24" s="2940"/>
      <c r="W24" s="2940"/>
      <c r="X24" s="2940"/>
      <c r="Y24" s="2940"/>
      <c r="Z24" s="2940"/>
      <c r="AA24" s="2940"/>
      <c r="AB24" s="2940"/>
      <c r="AC24" s="2940"/>
      <c r="AD24" s="2940"/>
      <c r="AE24" s="2940"/>
      <c r="AF24" s="2940"/>
      <c r="AG24" s="2940"/>
      <c r="AH24" s="2940"/>
      <c r="AI24" s="1935"/>
      <c r="AQ24" s="1847">
        <v>14</v>
      </c>
    </row>
    <row customHeight="1" ht="14.699999999999998">
      <c r="Q25" s="1068"/>
      <c r="R25" s="1068"/>
      <c r="S25" s="2941" t="str">
        <f>IF(org=0,"Не определено",org)</f>
        <v>АО "ДГК"</v>
      </c>
      <c r="T25" s="2941"/>
      <c r="U25" s="2941"/>
      <c r="V25" s="2941"/>
      <c r="W25" s="2941"/>
      <c r="X25" s="2941"/>
      <c r="Y25" s="2941"/>
      <c r="Z25" s="2941"/>
      <c r="AA25" s="2941"/>
      <c r="AB25" s="2941"/>
      <c r="AC25" s="2941"/>
      <c r="AD25" s="2941"/>
      <c r="AE25" s="2941"/>
      <c r="AF25" s="2941"/>
      <c r="AG25" s="2941"/>
      <c r="AH25" s="2941"/>
      <c r="AI25" s="1935"/>
      <c r="AQ25" s="1847">
        <v>14</v>
      </c>
    </row>
    <row customHeight="1" ht="14.25" hidden="1">
      <c r="Q26" s="1068"/>
      <c r="R26" s="1068"/>
      <c r="S26" s="1967"/>
      <c r="T26" s="1055"/>
      <c r="U26" s="1055"/>
      <c r="V26" s="1014"/>
      <c r="W26" s="1014"/>
      <c r="X26" s="1014"/>
      <c r="Y26" s="1014"/>
      <c r="Z26" s="1014"/>
      <c r="AA26" s="1014"/>
      <c r="AB26" s="1014"/>
      <c r="AC26" s="1014"/>
      <c r="AD26" s="1014"/>
      <c r="AE26" s="1014"/>
      <c r="AF26" s="1014"/>
      <c r="AG26" s="1014"/>
      <c r="AH26" s="1014"/>
      <c r="AI26" s="1014"/>
      <c r="AJ26" s="1201"/>
      <c r="AQ26" s="1847">
        <v>0</v>
      </c>
    </row>
    <row s="63055" customFormat="1" customHeight="1" ht="25.5" hidden="1">
      <c r="A27" s="2060"/>
      <c r="B27" s="2060"/>
      <c r="C27" s="2060"/>
      <c r="D27" s="2060"/>
      <c r="E27" s="2060"/>
      <c r="F27" s="2060"/>
      <c r="G27" s="2060"/>
      <c r="H27" s="2060"/>
      <c r="I27" s="2060"/>
      <c r="J27" s="2060"/>
      <c r="K27" s="2060"/>
      <c r="L27" s="2061"/>
      <c r="M27" s="2060"/>
      <c r="N27" s="2060"/>
      <c r="O27" s="2060"/>
      <c r="S27" s="2942" t="s">
        <v>42</v>
      </c>
      <c r="T27" s="2942"/>
      <c r="U27" s="2064"/>
      <c r="V27" s="2943" t="str">
        <f>IF(TITLE_NAME_OR_PR_CHANGE="",IF(TITLE_NAME_OR_PR="","",TITLE_NAME_OR_PR),TITLE_NAME_OR_PR_CHANGE)</f>
        <v/>
      </c>
      <c r="W27" s="2943"/>
      <c r="X27" s="2943"/>
      <c r="Y27" s="2943"/>
      <c r="Z27" s="2943"/>
      <c r="AA27" s="2943"/>
      <c r="AB27" s="1018"/>
      <c r="AC27" s="2943" t="str">
        <f>IF(TITLE_NAME_OR_PR_CHANGE="",IF(TITLE_NAME_OR_PR="","",TITLE_NAME_OR_PR),TITLE_NAME_OR_PR_CHANGE)</f>
        <v/>
      </c>
      <c r="AD27" s="2943"/>
      <c r="AE27" s="2943"/>
      <c r="AF27" s="2943"/>
      <c r="AG27" s="2943"/>
      <c r="AH27" s="2943"/>
      <c r="AI27" s="1018"/>
      <c r="AJ27" s="1018"/>
      <c r="AK27" s="972"/>
      <c r="AL27" s="1060"/>
      <c r="AM27" s="1060"/>
      <c r="AN27" s="1060"/>
      <c r="AO27" s="1060"/>
      <c r="AP27" s="1060"/>
      <c r="AQ27" s="1110">
        <v>0</v>
      </c>
    </row>
    <row s="63055" customFormat="1" customHeight="1" ht="18.75" hidden="1">
      <c r="A28" s="2060"/>
      <c r="B28" s="2060"/>
      <c r="C28" s="2060"/>
      <c r="D28" s="2060"/>
      <c r="E28" s="2060"/>
      <c r="F28" s="2060"/>
      <c r="G28" s="2060"/>
      <c r="H28" s="2060"/>
      <c r="I28" s="2060"/>
      <c r="J28" s="2060"/>
      <c r="K28" s="2060"/>
      <c r="L28" s="2061"/>
      <c r="M28" s="2060"/>
      <c r="N28" s="2060"/>
      <c r="O28" s="2060"/>
      <c r="S28" s="2942" t="s">
        <v>495</v>
      </c>
      <c r="T28" s="2942"/>
      <c r="U28" s="2064"/>
      <c r="V28" s="2956" t="str">
        <f>IF(TITLE_DATE_PR_CHANGE="",IF(TITLE_DATE_PR="","",TITLE_DATE_PR),TITLE_DATE_PR_CHANGE)</f>
        <v>45981</v>
      </c>
      <c r="W28" s="2956"/>
      <c r="X28" s="2956"/>
      <c r="Y28" s="2956"/>
      <c r="Z28" s="2956"/>
      <c r="AA28" s="2956"/>
      <c r="AB28" s="1018"/>
      <c r="AC28" s="2956" t="str">
        <f>IF(TITLE_DATE_PR_CHANGE="",IF(TITLE_DATE_PR="","",TITLE_DATE_PR),TITLE_DATE_PR_CHANGE)</f>
        <v>45981</v>
      </c>
      <c r="AD28" s="2956"/>
      <c r="AE28" s="2956"/>
      <c r="AF28" s="2956"/>
      <c r="AG28" s="2956"/>
      <c r="AH28" s="2956"/>
      <c r="AI28" s="1018"/>
      <c r="AJ28" s="1018"/>
      <c r="AK28" s="972"/>
      <c r="AL28" s="1060"/>
      <c r="AM28" s="1060"/>
      <c r="AN28" s="1060"/>
      <c r="AO28" s="1060"/>
      <c r="AP28" s="1060"/>
      <c r="AQ28" s="1110">
        <v>0</v>
      </c>
    </row>
    <row s="63055" customFormat="1" customHeight="1" ht="18.75" hidden="1">
      <c r="A29" s="2060"/>
      <c r="B29" s="2060"/>
      <c r="C29" s="2060"/>
      <c r="D29" s="2060"/>
      <c r="E29" s="2060"/>
      <c r="F29" s="2060"/>
      <c r="G29" s="2060"/>
      <c r="H29" s="2060"/>
      <c r="I29" s="2060"/>
      <c r="J29" s="2060"/>
      <c r="K29" s="2060"/>
      <c r="L29" s="2061"/>
      <c r="M29" s="2060"/>
      <c r="N29" s="2060"/>
      <c r="O29" s="2060"/>
      <c r="S29" s="2942" t="s">
        <v>496</v>
      </c>
      <c r="T29" s="2942"/>
      <c r="U29" s="2064"/>
      <c r="V29" s="2943" t="str">
        <f>IF(TITLE_NUMBER_PR_CHANGE="",IF(TITLE_NUMBER_PR="","",TITLE_NUMBER_PR),TITLE_NUMBER_PR_CHANGE)</f>
        <v>Исх-260/1781</v>
      </c>
      <c r="W29" s="2943"/>
      <c r="X29" s="2943"/>
      <c r="Y29" s="2943"/>
      <c r="Z29" s="2943"/>
      <c r="AA29" s="2943"/>
      <c r="AB29" s="1018"/>
      <c r="AC29" s="2943" t="str">
        <f>IF(TITLE_NUMBER_PR_CHANGE="",IF(TITLE_NUMBER_PR="","",TITLE_NUMBER_PR),TITLE_NUMBER_PR_CHANGE)</f>
        <v>Исх-260/1781</v>
      </c>
      <c r="AD29" s="2943"/>
      <c r="AE29" s="2943"/>
      <c r="AF29" s="2943"/>
      <c r="AG29" s="2943"/>
      <c r="AH29" s="2943"/>
      <c r="AI29" s="1018"/>
      <c r="AJ29" s="1018"/>
      <c r="AK29" s="972"/>
      <c r="AL29" s="1060"/>
      <c r="AM29" s="1060"/>
      <c r="AN29" s="1060"/>
      <c r="AO29" s="1060"/>
      <c r="AP29" s="1060"/>
      <c r="AQ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43</v>
      </c>
      <c r="T30" s="2942"/>
      <c r="U30" s="2064"/>
      <c r="V30" s="2943" t="str">
        <f>IF(TITLE_IST_PUB_CHANGE="",IF(TITLE_IST_PUB="","",TITLE_IST_PUB),TITLE_IST_PUB_CHANGE)</f>
        <v/>
      </c>
      <c r="W30" s="2943"/>
      <c r="X30" s="2943"/>
      <c r="Y30" s="2943"/>
      <c r="Z30" s="2943"/>
      <c r="AA30" s="2943"/>
      <c r="AB30" s="1018"/>
      <c r="AC30" s="2943" t="str">
        <f>IF(TITLE_IST_PUB_CHANGE="",IF(TITLE_IST_PUB="","",TITLE_IST_PUB),TITLE_IST_PUB_CHANGE)</f>
        <v/>
      </c>
      <c r="AD30" s="2943"/>
      <c r="AE30" s="2943"/>
      <c r="AF30" s="2943"/>
      <c r="AG30" s="2943"/>
      <c r="AH30" s="2943"/>
      <c r="AI30" s="1018"/>
      <c r="AJ30" s="1018"/>
      <c r="AK30" s="972"/>
      <c r="AL30" s="1060"/>
      <c r="AM30" s="1060"/>
      <c r="AN30" s="1060"/>
      <c r="AO30" s="1060"/>
      <c r="AP30" s="1060"/>
      <c r="AQ30" s="1110">
        <v>0</v>
      </c>
    </row>
    <row customHeight="1" ht="14.25">
      <c r="Q31" s="1068"/>
      <c r="R31" s="1068"/>
      <c r="S31" s="1967"/>
      <c r="T31" s="1055"/>
      <c r="U31" s="1055"/>
      <c r="V31" s="1014"/>
      <c r="W31" s="1014"/>
      <c r="X31" s="1014"/>
      <c r="Y31" s="1014"/>
      <c r="Z31" s="1014"/>
      <c r="AA31" s="1014"/>
      <c r="AB31" s="1014"/>
      <c r="AC31" s="1014"/>
      <c r="AD31" s="1014"/>
      <c r="AE31" s="1014"/>
      <c r="AF31" s="1014"/>
      <c r="AG31" s="1014"/>
      <c r="AH31" s="1014"/>
      <c r="AI31" s="1014"/>
      <c r="AJ31" s="1201"/>
      <c r="AQ31" s="1847">
        <v>0</v>
      </c>
    </row>
    <row s="63055" customFormat="1" customHeight="1" ht="18.75">
      <c r="A32" s="2060"/>
      <c r="B32" s="2060"/>
      <c r="C32" s="2060"/>
      <c r="D32" s="2060"/>
      <c r="E32" s="2060"/>
      <c r="F32" s="2060"/>
      <c r="G32" s="2060"/>
      <c r="H32" s="2060"/>
      <c r="I32" s="2060"/>
      <c r="J32" s="2060"/>
      <c r="K32" s="2060"/>
      <c r="L32" s="2061"/>
      <c r="M32" s="2060"/>
      <c r="N32" s="2060"/>
      <c r="O32" s="2060"/>
      <c r="S32" s="2942" t="s">
        <v>497</v>
      </c>
      <c r="T32" s="2942"/>
      <c r="U32" s="2064"/>
      <c r="V32" s="2956" t="str">
        <f>IF(TITLE_DATE_PR_CHANGE="",IF(TITLE_DATE_PR="","",TITLE_DATE_PR),TITLE_DATE_PR_CHANGE)</f>
        <v>45981</v>
      </c>
      <c r="W32" s="2956"/>
      <c r="X32" s="2956"/>
      <c r="Y32" s="2956"/>
      <c r="Z32" s="2956"/>
      <c r="AA32" s="2956"/>
      <c r="AB32" s="1018"/>
      <c r="AC32" s="2956" t="str">
        <f>IF(TITLE_DATE_PR_CHANGE="",IF(TITLE_DATE_PR="","",TITLE_DATE_PR),TITLE_DATE_PR_CHANGE)</f>
        <v>45981</v>
      </c>
      <c r="AD32" s="2956"/>
      <c r="AE32" s="2956"/>
      <c r="AF32" s="2956"/>
      <c r="AG32" s="2956"/>
      <c r="AH32" s="2956"/>
      <c r="AI32" s="1018"/>
      <c r="AJ32" s="1018"/>
      <c r="AK32" s="972"/>
      <c r="AL32" s="1060"/>
      <c r="AM32" s="1060"/>
      <c r="AN32" s="1060"/>
      <c r="AO32" s="1060"/>
      <c r="AP32" s="1060"/>
      <c r="AQ32" s="1110">
        <v>0</v>
      </c>
    </row>
    <row s="63055" customFormat="1" customHeight="1" ht="18.75">
      <c r="A33" s="2060"/>
      <c r="B33" s="2060"/>
      <c r="C33" s="2060"/>
      <c r="D33" s="2060"/>
      <c r="E33" s="2060"/>
      <c r="F33" s="2060"/>
      <c r="G33" s="2060"/>
      <c r="H33" s="2060"/>
      <c r="I33" s="2060"/>
      <c r="J33" s="2060"/>
      <c r="K33" s="2060"/>
      <c r="L33" s="2061"/>
      <c r="M33" s="2060"/>
      <c r="N33" s="2060"/>
      <c r="O33" s="2060"/>
      <c r="S33" s="2942" t="s">
        <v>498</v>
      </c>
      <c r="T33" s="2942"/>
      <c r="U33" s="2064"/>
      <c r="V33" s="2943" t="str">
        <f>IF(TITLE_NUMBER_PR_CHANGE="",IF(TITLE_NUMBER_PR="","",TITLE_NUMBER_PR),TITLE_NUMBER_PR_CHANGE)</f>
        <v>Исх-260/1781</v>
      </c>
      <c r="W33" s="2943"/>
      <c r="X33" s="2943"/>
      <c r="Y33" s="2943"/>
      <c r="Z33" s="2943"/>
      <c r="AA33" s="2943"/>
      <c r="AB33" s="1018"/>
      <c r="AC33" s="2943" t="str">
        <f>IF(TITLE_NUMBER_PR_CHANGE="",IF(TITLE_NUMBER_PR="","",TITLE_NUMBER_PR),TITLE_NUMBER_PR_CHANGE)</f>
        <v>Исх-260/1781</v>
      </c>
      <c r="AD33" s="2943"/>
      <c r="AE33" s="2943"/>
      <c r="AF33" s="2943"/>
      <c r="AG33" s="2943"/>
      <c r="AH33" s="2943"/>
      <c r="AI33" s="1018"/>
      <c r="AJ33" s="1018"/>
      <c r="AK33" s="972"/>
      <c r="AL33" s="1060"/>
      <c r="AM33" s="1060"/>
      <c r="AN33" s="1060"/>
      <c r="AO33" s="1060"/>
      <c r="AP33" s="1060"/>
      <c r="AQ33" s="1110">
        <v>0</v>
      </c>
    </row>
    <row s="63055" customFormat="1" customHeight="1" ht="1.05">
      <c r="A34" s="2060"/>
      <c r="B34" s="2060"/>
      <c r="C34" s="2060"/>
      <c r="D34" s="2060"/>
      <c r="E34" s="2060"/>
      <c r="F34" s="2060"/>
      <c r="G34" s="2060"/>
      <c r="H34" s="2060"/>
      <c r="I34" s="2060"/>
      <c r="J34" s="2060"/>
      <c r="K34" s="2060"/>
      <c r="L34" s="2061"/>
      <c r="M34" s="2060"/>
      <c r="N34" s="2060"/>
      <c r="O34" s="2060"/>
      <c r="S34" s="1015"/>
      <c r="T34" s="1015"/>
      <c r="U34" s="2146"/>
      <c r="V34" s="1018"/>
      <c r="W34" s="1018"/>
      <c r="X34" s="1018"/>
      <c r="Y34" s="1018"/>
      <c r="Z34" s="1018"/>
      <c r="AA34" s="1018"/>
      <c r="AB34" s="970" t="s">
        <v>499</v>
      </c>
      <c r="AC34" s="1018"/>
      <c r="AD34" s="1018"/>
      <c r="AE34" s="1018"/>
      <c r="AF34" s="1018"/>
      <c r="AG34" s="1018"/>
      <c r="AH34" s="1018"/>
      <c r="AI34" s="970" t="s">
        <v>499</v>
      </c>
      <c r="AL34" s="1060"/>
      <c r="AM34" s="1060"/>
      <c r="AN34" s="1060"/>
      <c r="AO34" s="1060"/>
      <c r="AP34" s="1060"/>
      <c r="AQ34" s="1110">
        <v>1</v>
      </c>
    </row>
    <row customHeight="1" ht="14.699999999999998">
      <c r="Q35" s="1068"/>
      <c r="R35" s="1068"/>
      <c r="S35" s="1967"/>
      <c r="T35" s="1055"/>
      <c r="U35" s="1936"/>
      <c r="V35" s="2944"/>
      <c r="W35" s="2944"/>
      <c r="X35" s="2944"/>
      <c r="Y35" s="2944"/>
      <c r="Z35" s="2944"/>
      <c r="AA35" s="2944"/>
      <c r="AB35" s="2944"/>
      <c r="AC35" s="2944"/>
      <c r="AD35" s="2944"/>
      <c r="AE35" s="2944"/>
      <c r="AF35" s="2944"/>
      <c r="AG35" s="2944"/>
      <c r="AH35" s="2944"/>
      <c r="AI35" s="2944"/>
      <c r="AQ35" s="1847">
        <v>14</v>
      </c>
    </row>
    <row customHeight="1" ht="14.699999999999998">
      <c r="Q36" s="1068"/>
      <c r="R36" s="1068"/>
      <c r="S36" s="2819" t="s">
        <v>375</v>
      </c>
      <c r="T36" s="2819"/>
      <c r="U36" s="2819"/>
      <c r="V36" s="2819"/>
      <c r="W36" s="2819"/>
      <c r="X36" s="2819"/>
      <c r="Y36" s="2819"/>
      <c r="Z36" s="2819"/>
      <c r="AA36" s="2819"/>
      <c r="AB36" s="2819"/>
      <c r="AC36" s="2819"/>
      <c r="AD36" s="2819"/>
      <c r="AE36" s="2819"/>
      <c r="AF36" s="2819"/>
      <c r="AG36" s="2819"/>
      <c r="AH36" s="2819"/>
      <c r="AI36" s="2819"/>
      <c r="AJ36" s="2819"/>
      <c r="AK36" s="2819" t="s">
        <v>376</v>
      </c>
      <c r="AQ36" s="1847">
        <v>14</v>
      </c>
    </row>
    <row customHeight="1" ht="14.699999999999998">
      <c r="Q37" s="1068"/>
      <c r="R37" s="1068"/>
      <c r="S37" s="2965" t="s">
        <v>89</v>
      </c>
      <c r="T37" s="2901" t="s">
        <v>500</v>
      </c>
      <c r="U37" s="993"/>
      <c r="V37" s="2966" t="s">
        <v>501</v>
      </c>
      <c r="W37" s="2967"/>
      <c r="X37" s="2967"/>
      <c r="Y37" s="2967"/>
      <c r="Z37" s="2967"/>
      <c r="AA37" s="2968"/>
      <c r="AB37" s="2969" t="s">
        <v>502</v>
      </c>
      <c r="AC37" s="2966" t="s">
        <v>501</v>
      </c>
      <c r="AD37" s="2967"/>
      <c r="AE37" s="2967"/>
      <c r="AF37" s="2967"/>
      <c r="AG37" s="2967"/>
      <c r="AH37" s="2968"/>
      <c r="AI37" s="2969" t="s">
        <v>503</v>
      </c>
      <c r="AJ37" s="2972" t="s">
        <v>504</v>
      </c>
      <c r="AK37" s="2819"/>
      <c r="AQ37" s="1847">
        <v>14</v>
      </c>
    </row>
    <row customHeight="1" ht="35.699999999999996">
      <c r="Q38" s="1068"/>
      <c r="R38" s="1068"/>
      <c r="S38" s="2965"/>
      <c r="T38" s="2901"/>
      <c r="U38" s="1723"/>
      <c r="V38" s="2144" t="s">
        <v>563</v>
      </c>
      <c r="W38" s="2954" t="s">
        <v>507</v>
      </c>
      <c r="X38" s="2955"/>
      <c r="Y38" s="2954" t="s">
        <v>508</v>
      </c>
      <c r="Z38" s="2961"/>
      <c r="AA38" s="2955"/>
      <c r="AB38" s="2970"/>
      <c r="AC38" s="2144" t="s">
        <v>563</v>
      </c>
      <c r="AD38" s="2954" t="s">
        <v>507</v>
      </c>
      <c r="AE38" s="2955"/>
      <c r="AF38" s="2954" t="s">
        <v>508</v>
      </c>
      <c r="AG38" s="2961"/>
      <c r="AH38" s="2955"/>
      <c r="AI38" s="2970"/>
      <c r="AJ38" s="2973"/>
      <c r="AK38" s="2819"/>
      <c r="AQ38" s="1847">
        <v>34</v>
      </c>
    </row>
    <row customHeight="1" ht="35.699999999999996">
      <c r="A39" s="2062"/>
      <c r="B39" s="2062" t="s">
        <v>143</v>
      </c>
      <c r="C39" s="2062" t="s">
        <v>144</v>
      </c>
      <c r="D39" s="2062" t="s">
        <v>145</v>
      </c>
      <c r="E39" s="2056" t="s">
        <v>509</v>
      </c>
      <c r="F39" s="2056" t="s">
        <v>510</v>
      </c>
      <c r="G39" s="2056" t="s">
        <v>511</v>
      </c>
      <c r="H39" s="2056"/>
      <c r="I39" s="2056" t="s">
        <v>564</v>
      </c>
      <c r="J39" s="2056" t="s">
        <v>514</v>
      </c>
      <c r="K39" s="2056" t="s">
        <v>565</v>
      </c>
      <c r="L39" s="2056" t="s">
        <v>490</v>
      </c>
      <c r="Q39" s="1068"/>
      <c r="R39" s="1068"/>
      <c r="S39" s="2965"/>
      <c r="T39" s="2901"/>
      <c r="U39" s="994"/>
      <c r="V39" s="2144" t="s">
        <v>566</v>
      </c>
      <c r="W39" s="1914" t="s">
        <v>567</v>
      </c>
      <c r="X39" s="1914" t="s">
        <v>568</v>
      </c>
      <c r="Y39" s="2147" t="s">
        <v>518</v>
      </c>
      <c r="Z39" s="2962" t="s">
        <v>519</v>
      </c>
      <c r="AA39" s="2963"/>
      <c r="AB39" s="2971"/>
      <c r="AC39" s="2144" t="s">
        <v>566</v>
      </c>
      <c r="AD39" s="1914" t="s">
        <v>567</v>
      </c>
      <c r="AE39" s="1914" t="s">
        <v>568</v>
      </c>
      <c r="AF39" s="2147" t="s">
        <v>518</v>
      </c>
      <c r="AG39" s="2962" t="s">
        <v>519</v>
      </c>
      <c r="AH39" s="2963"/>
      <c r="AI39" s="2971"/>
      <c r="AJ39" s="2974"/>
      <c r="AK39" s="2819"/>
      <c r="AQ39" s="1847">
        <v>34</v>
      </c>
    </row>
    <row s="61193" customFormat="1" customHeight="1" ht="0">
      <c r="A40" s="2062"/>
      <c r="B40" s="2062"/>
      <c r="C40" s="2062"/>
      <c r="D40" s="2062"/>
      <c r="E40" s="2062"/>
      <c r="F40" s="2062"/>
      <c r="G40" s="2062"/>
      <c r="H40" s="2062"/>
      <c r="I40" s="2062"/>
      <c r="J40" s="2062"/>
      <c r="K40" s="2062"/>
      <c r="L40" s="2056"/>
      <c r="M40" s="2054"/>
      <c r="N40" s="2054"/>
      <c r="O40" s="2054"/>
      <c r="P40" s="1938"/>
      <c r="Q40" s="1939"/>
      <c r="R40" s="1946">
        <v>1</v>
      </c>
      <c r="S40" s="1969" t="s">
        <v>118</v>
      </c>
      <c r="T40" s="1947" t="s">
        <v>103</v>
      </c>
      <c r="U40" s="1937" t="str">
        <f>OFFSET(U40,0,-1)</f>
        <v>2</v>
      </c>
      <c r="V40" s="2143">
        <f>OFFSET(V40,0,-1)+1</f>
        <v>3</v>
      </c>
      <c r="W40" s="2143">
        <f>OFFSET(W40,0,-1)+1</f>
        <v>4</v>
      </c>
      <c r="X40" s="2143">
        <f>OFFSET(X40,0,-1)+1</f>
        <v>5</v>
      </c>
      <c r="Y40" s="2143">
        <f>OFFSET(Y40,0,-1)+1</f>
        <v>6</v>
      </c>
      <c r="Z40" s="2964">
        <f>OFFSET(Z40,0,-1)+1</f>
        <v>7</v>
      </c>
      <c r="AA40" s="2964"/>
      <c r="AB40" s="2143">
        <f>OFFSET(AB40,0,-2)+1</f>
        <v>8</v>
      </c>
      <c r="AC40" s="2143">
        <f>OFFSET(AC40,0,-1)+1</f>
        <v>9</v>
      </c>
      <c r="AD40" s="2143">
        <f>OFFSET(AD40,0,-1)+1</f>
        <v>10</v>
      </c>
      <c r="AE40" s="2143">
        <f>OFFSET(AE40,0,-1)+1</f>
        <v>11</v>
      </c>
      <c r="AF40" s="2143">
        <f>OFFSET(AF40,0,-1)+1</f>
        <v>12</v>
      </c>
      <c r="AG40" s="2964">
        <f>OFFSET(AG40,0,-1)+1</f>
        <v>13</v>
      </c>
      <c r="AH40" s="2964"/>
      <c r="AI40" s="2143">
        <f>OFFSET(AI40,0,-2)+1</f>
        <v>14</v>
      </c>
      <c r="AJ40" s="1937">
        <f>OFFSET(AJ40,0,-1)</f>
        <v>14</v>
      </c>
      <c r="AK40" s="2143">
        <f>OFFSET(AK40,0,-1)+1</f>
        <v>15</v>
      </c>
      <c r="AL40" s="1203"/>
      <c r="AM40" s="1203"/>
      <c r="AN40" s="1203"/>
      <c r="AO40" s="1203"/>
      <c r="AP40" s="1203"/>
      <c r="AQ40" s="1188">
        <v>0</v>
      </c>
    </row>
    <row customHeight="1" ht="24">
      <c r="A41" s="2055" t="s">
        <v>306</v>
      </c>
      <c r="B41" s="2055"/>
      <c r="C41" s="2055"/>
      <c r="D41" s="2055"/>
      <c r="E41" s="2950">
        <v>1</v>
      </c>
      <c r="F41" s="2055"/>
      <c r="G41" s="2055"/>
      <c r="H41" s="2055"/>
      <c r="I41" s="2055"/>
      <c r="J41" s="2055"/>
      <c r="K41" s="2055"/>
      <c r="L41" s="2056"/>
      <c r="M41" s="2057"/>
      <c r="N41" s="2057"/>
      <c r="O41" s="2057"/>
      <c r="P41" s="1053"/>
      <c r="Q41" s="1052"/>
      <c r="R41" s="1047"/>
      <c r="S41" s="2149">
        <f>INDEX(PT_DIFFERENTIATION_NUM_NTAR,MATCH(A41,PT_DIFFERENTIATION_NTAR_ID,0))</f>
        <v>0</v>
      </c>
      <c r="T41" s="990" t="s">
        <v>131</v>
      </c>
      <c r="U41" s="992"/>
      <c r="V41" s="2934"/>
      <c r="W41" s="2935"/>
      <c r="X41" s="2935"/>
      <c r="Y41" s="2935"/>
      <c r="Z41" s="2935"/>
      <c r="AA41" s="2935"/>
      <c r="AB41" s="2936"/>
      <c r="AC41" s="2934" t="str">
        <f>INDEX(PT_DIFFERENTIATION_NTAR,MATCH(A41,PT_DIFFERENTIATION_NTAR_ID,0))</f>
        <v/>
      </c>
      <c r="AD41" s="2935"/>
      <c r="AE41" s="2935"/>
      <c r="AF41" s="2935"/>
      <c r="AG41" s="2935"/>
      <c r="AH41" s="2935"/>
      <c r="AI41" s="2935"/>
      <c r="AJ41" s="2936"/>
      <c r="AK41"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92"/>
      <c r="AN41" s="1192" t="str">
        <f>IF(T41="","",T41)</f>
        <v>Наименование тарифа</v>
      </c>
      <c r="AO41" s="1192"/>
      <c r="AP41" s="1192"/>
      <c r="AQ41" s="1847">
        <v>23</v>
      </c>
    </row>
    <row customHeight="1" ht="24">
      <c r="A42" s="2055" t="s">
        <v>306</v>
      </c>
      <c r="B42" s="2055" t="s">
        <v>307</v>
      </c>
      <c r="C42" s="2055"/>
      <c r="D42" s="2055"/>
      <c r="E42" s="2951"/>
      <c r="F42" s="2950">
        <v>1</v>
      </c>
      <c r="G42" s="2055"/>
      <c r="H42" s="2055"/>
      <c r="I42" s="2055"/>
      <c r="J42" s="2055"/>
      <c r="K42" s="2055"/>
      <c r="L42" s="2056"/>
      <c r="M42" s="2057"/>
      <c r="N42" s="2057"/>
      <c r="O42" s="2057"/>
      <c r="P42" s="2145"/>
      <c r="Q42" s="1044"/>
      <c r="R42" s="1045"/>
      <c r="S42" s="2149" t="str">
        <f>INDEX(PT_DIFFERENTIATION_NUM_TER,MATCH(B42,PT_DIFFERENTIATION_TER_ID,0))</f>
        <v>.</v>
      </c>
      <c r="T42" s="1000" t="s">
        <v>472</v>
      </c>
      <c r="U42" s="992"/>
      <c r="V42" s="2934"/>
      <c r="W42" s="2935"/>
      <c r="X42" s="2935"/>
      <c r="Y42" s="2935"/>
      <c r="Z42" s="2935"/>
      <c r="AA42" s="2935"/>
      <c r="AB42" s="2936"/>
      <c r="AC42" s="2934" t="str">
        <f>INDEX(PT_DIFFERENTIATION_TER,MATCH(B42,PT_DIFFERENTIATION_TER_ID,0))</f>
        <v/>
      </c>
      <c r="AD42" s="2935"/>
      <c r="AE42" s="2935"/>
      <c r="AF42" s="2935"/>
      <c r="AG42" s="2935"/>
      <c r="AH42" s="2935"/>
      <c r="AI42" s="2935"/>
      <c r="AJ42" s="2936"/>
      <c r="AK42" s="1950" t="s">
        <v>473</v>
      </c>
      <c r="AM42" s="1192"/>
      <c r="AN42" s="1192" t="str">
        <f>IF(T42="","",T42)</f>
        <v>Территория действия тарифа</v>
      </c>
      <c r="AO42" s="1192"/>
      <c r="AP42" s="1192"/>
      <c r="AQ42" s="1847">
        <v>23</v>
      </c>
    </row>
    <row customHeight="1" ht="24">
      <c r="A43" s="2055" t="s">
        <v>306</v>
      </c>
      <c r="B43" s="2055" t="s">
        <v>307</v>
      </c>
      <c r="C43" s="2055" t="s">
        <v>308</v>
      </c>
      <c r="D43" s="2055"/>
      <c r="E43" s="2951"/>
      <c r="F43" s="2951"/>
      <c r="G43" s="2950">
        <v>1</v>
      </c>
      <c r="H43" s="2055"/>
      <c r="I43" s="2055"/>
      <c r="J43" s="2055"/>
      <c r="K43" s="2055"/>
      <c r="L43" s="2056"/>
      <c r="M43" s="2057"/>
      <c r="N43" s="2057"/>
      <c r="O43" s="2057"/>
      <c r="P43" s="1046"/>
      <c r="Q43" s="1044"/>
      <c r="R43" s="1045"/>
      <c r="S43" s="2149" t="str">
        <f>INDEX(PT_DIFFERENTIATION_NUM_CS,MATCH(C43,PT_DIFFERENTIATION_CS_ID,0))</f>
        <v>..</v>
      </c>
      <c r="T43" s="1001" t="s">
        <v>555</v>
      </c>
      <c r="U43" s="992"/>
      <c r="V43" s="2934"/>
      <c r="W43" s="2935"/>
      <c r="X43" s="2935"/>
      <c r="Y43" s="2935"/>
      <c r="Z43" s="2935"/>
      <c r="AA43" s="2935"/>
      <c r="AB43" s="2936"/>
      <c r="AC43" s="2934" t="str">
        <f>INDEX(PT_DIFFERENTIATION_CS,MATCH(C43,PT_DIFFERENTIATION_CS_ID,0))</f>
        <v/>
      </c>
      <c r="AD43" s="2935"/>
      <c r="AE43" s="2935"/>
      <c r="AF43" s="2935"/>
      <c r="AG43" s="2935"/>
      <c r="AH43" s="2935"/>
      <c r="AI43" s="2935"/>
      <c r="AJ43" s="2936"/>
      <c r="AK43" s="1950" t="s">
        <v>556</v>
      </c>
      <c r="AM43" s="1192"/>
      <c r="AN43" s="1192" t="str">
        <f>IF(T43="","",T43)</f>
        <v>Наименование централизованной системы холодного водоснабжения</v>
      </c>
      <c r="AO43" s="1192"/>
      <c r="AP43" s="1192"/>
      <c r="AQ43" s="1847">
        <v>23</v>
      </c>
    </row>
    <row customHeight="1" ht="24">
      <c r="A44" s="2055" t="s">
        <v>306</v>
      </c>
      <c r="B44" s="2055" t="s">
        <v>307</v>
      </c>
      <c r="C44" s="2055" t="s">
        <v>308</v>
      </c>
      <c r="D44" s="2055" t="s">
        <v>570</v>
      </c>
      <c r="E44" s="2951"/>
      <c r="F44" s="2951"/>
      <c r="G44" s="2951"/>
      <c r="H44" s="2951"/>
      <c r="I44" s="2948" t="str">
        <f>S43&amp;".1"</f>
        <v>...1</v>
      </c>
      <c r="J44" s="2055"/>
      <c r="K44" s="2055"/>
      <c r="L44" s="2056"/>
      <c r="P44" s="2949">
        <v>1</v>
      </c>
      <c r="Q44" s="2142"/>
      <c r="R44" s="1048"/>
      <c r="S44" s="2149" t="str">
        <f>$I44</f>
        <v>...1</v>
      </c>
      <c r="T44" s="977" t="s">
        <v>557</v>
      </c>
      <c r="U44" s="992"/>
      <c r="V44" s="3042"/>
      <c r="W44" s="3043"/>
      <c r="X44" s="3043"/>
      <c r="Y44" s="3043"/>
      <c r="Z44" s="3043"/>
      <c r="AA44" s="3043"/>
      <c r="AB44" s="3044"/>
      <c r="AC44" s="3045"/>
      <c r="AD44" s="3046"/>
      <c r="AE44" s="3046"/>
      <c r="AF44" s="3046"/>
      <c r="AG44" s="3046"/>
      <c r="AH44" s="3046"/>
      <c r="AI44" s="3046"/>
      <c r="AJ44" s="3047"/>
      <c r="AK44" s="1950" t="s">
        <v>558</v>
      </c>
      <c r="AM44" s="1192"/>
      <c r="AN44" s="1192" t="str">
        <f>IF(T44="","",T44)</f>
        <v>Наименование признака дифференциации</v>
      </c>
      <c r="AO44" s="1192"/>
      <c r="AP44" s="1192"/>
      <c r="AQ44" s="1847">
        <v>23</v>
      </c>
    </row>
    <row customHeight="1" ht="24">
      <c r="A45" s="2055" t="s">
        <v>306</v>
      </c>
      <c r="B45" s="2055" t="s">
        <v>307</v>
      </c>
      <c r="C45" s="2055" t="s">
        <v>308</v>
      </c>
      <c r="D45" s="2055" t="s">
        <v>570</v>
      </c>
      <c r="E45" s="2951"/>
      <c r="F45" s="2951"/>
      <c r="G45" s="2951"/>
      <c r="H45" s="2951"/>
      <c r="I45" s="2978"/>
      <c r="J45" s="2948" t="str">
        <f>I44&amp;".1"</f>
        <v>...1.1</v>
      </c>
      <c r="K45" s="2055"/>
      <c r="L45" s="2056" t="s">
        <v>481</v>
      </c>
      <c r="P45" s="2949"/>
      <c r="Q45" s="2949">
        <v>1</v>
      </c>
      <c r="R45" s="1049"/>
      <c r="S45" s="2149" t="str">
        <f>$J45</f>
        <v>...1.1</v>
      </c>
      <c r="T45" s="978" t="s">
        <v>482</v>
      </c>
      <c r="U45" s="992"/>
      <c r="V45" s="2937"/>
      <c r="W45" s="2938"/>
      <c r="X45" s="2938"/>
      <c r="Y45" s="2938"/>
      <c r="Z45" s="2938"/>
      <c r="AA45" s="2938"/>
      <c r="AB45" s="2939"/>
      <c r="AC45" s="2937"/>
      <c r="AD45" s="2938"/>
      <c r="AE45" s="2938"/>
      <c r="AF45" s="2938"/>
      <c r="AG45" s="2938"/>
      <c r="AH45" s="2938"/>
      <c r="AI45" s="2938"/>
      <c r="AJ45" s="2939"/>
      <c r="AK45" s="1999" t="s">
        <v>559</v>
      </c>
      <c r="AM45" s="1192"/>
      <c r="AN45" s="1192" t="str">
        <f>IF(T45="","",T45)</f>
        <v>Группа потребителей</v>
      </c>
      <c r="AO45" s="1192"/>
      <c r="AP45" s="1192"/>
      <c r="AQ45" s="1847">
        <v>23</v>
      </c>
    </row>
    <row customHeight="1" ht="24">
      <c r="A46" s="2055" t="s">
        <v>306</v>
      </c>
      <c r="B46" s="2055" t="s">
        <v>307</v>
      </c>
      <c r="C46" s="2055" t="s">
        <v>308</v>
      </c>
      <c r="D46" s="2055" t="s">
        <v>570</v>
      </c>
      <c r="E46" s="2951"/>
      <c r="F46" s="2951"/>
      <c r="G46" s="2951"/>
      <c r="H46" s="2951"/>
      <c r="I46" s="2978"/>
      <c r="J46" s="2978"/>
      <c r="K46" s="2948" t="str">
        <f>J45&amp;".1"</f>
        <v>...1.1.1</v>
      </c>
      <c r="L46" s="2056"/>
      <c r="P46" s="2949"/>
      <c r="Q46" s="2949"/>
      <c r="R46" s="1049">
        <v>1</v>
      </c>
      <c r="S46" s="2149" t="str">
        <f>$K46</f>
        <v>...1.1.1</v>
      </c>
      <c r="T46" s="2129"/>
      <c r="U46" s="992"/>
      <c r="V46" s="1443"/>
      <c r="W46" s="1443"/>
      <c r="X46" s="1949"/>
      <c r="Y46" s="2957"/>
      <c r="Z46" s="2799" t="s">
        <v>67</v>
      </c>
      <c r="AA46" s="2957"/>
      <c r="AB46" s="2799" t="s">
        <v>67</v>
      </c>
      <c r="AC46" s="1443"/>
      <c r="AD46" s="1443"/>
      <c r="AE46" s="1949"/>
      <c r="AF46" s="2957"/>
      <c r="AG46" s="2799" t="s">
        <v>67</v>
      </c>
      <c r="AH46" s="2979"/>
      <c r="AI46" s="2799" t="s">
        <v>67</v>
      </c>
      <c r="AJ46" s="2130"/>
      <c r="AK46"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03">
        <f>STRCHECKDATE(V47:AJ47)</f>
      </c>
      <c r="AM46" s="1192"/>
      <c r="AN46" s="1192" t="str">
        <f>IF(T46="","",T46)</f>
        <v/>
      </c>
      <c r="AO46" s="1192"/>
      <c r="AP46" s="1192"/>
      <c r="AQ46" s="1847">
        <v>23</v>
      </c>
    </row>
    <row customHeight="1" ht="0">
      <c r="A47" s="2055" t="s">
        <v>306</v>
      </c>
      <c r="B47" s="2055" t="s">
        <v>307</v>
      </c>
      <c r="C47" s="2055" t="s">
        <v>308</v>
      </c>
      <c r="D47" s="2055" t="s">
        <v>570</v>
      </c>
      <c r="E47" s="2951"/>
      <c r="F47" s="2951"/>
      <c r="G47" s="2951"/>
      <c r="H47" s="2951"/>
      <c r="I47" s="2978"/>
      <c r="J47" s="2978"/>
      <c r="K47" s="2948"/>
      <c r="L47" s="2056"/>
      <c r="P47" s="2949"/>
      <c r="Q47" s="2949"/>
      <c r="R47" s="1049"/>
      <c r="S47" s="2148"/>
      <c r="T47" s="992"/>
      <c r="U47" s="992"/>
      <c r="V47" s="1017"/>
      <c r="W47" s="1017"/>
      <c r="X47" s="1020" t="str">
        <f>Y46&amp;"-"&amp;AA46</f>
        <v>-</v>
      </c>
      <c r="Y47" s="2958"/>
      <c r="Z47" s="2799"/>
      <c r="AA47" s="2958"/>
      <c r="AB47" s="2799"/>
      <c r="AC47" s="1017"/>
      <c r="AD47" s="1017"/>
      <c r="AE47" s="1020" t="str">
        <f>AF46&amp;"-"&amp;AH46</f>
        <v>-</v>
      </c>
      <c r="AF47" s="2958"/>
      <c r="AG47" s="2799"/>
      <c r="AH47" s="2980"/>
      <c r="AI47" s="2799"/>
      <c r="AJ47" s="2131"/>
      <c r="AK47" s="3041"/>
      <c r="AM47" s="1192"/>
      <c r="AN47" s="1192" t="str">
        <f>IF(T47="","",T47)</f>
        <v/>
      </c>
      <c r="AO47" s="1192"/>
      <c r="AP47" s="1192"/>
      <c r="AQ47" s="1847">
        <v>0</v>
      </c>
    </row>
    <row customHeight="1" ht="21">
      <c r="A48" s="2055" t="s">
        <v>306</v>
      </c>
      <c r="B48" s="2055" t="s">
        <v>307</v>
      </c>
      <c r="C48" s="2055" t="s">
        <v>308</v>
      </c>
      <c r="D48" s="2055" t="s">
        <v>570</v>
      </c>
      <c r="E48" s="2951"/>
      <c r="F48" s="2951"/>
      <c r="G48" s="2951"/>
      <c r="H48" s="2951"/>
      <c r="I48" s="2978"/>
      <c r="J48" s="2948"/>
      <c r="K48" s="2055"/>
      <c r="L48" s="2056"/>
      <c r="P48" s="2949"/>
      <c r="Q48" s="2949"/>
      <c r="R48" s="1048"/>
      <c r="S48" s="1970"/>
      <c r="T48" s="979" t="s">
        <v>560</v>
      </c>
      <c r="U48" s="1059"/>
      <c r="V48" s="1059"/>
      <c r="W48" s="1059"/>
      <c r="X48" s="1059"/>
      <c r="Y48" s="1059"/>
      <c r="Z48" s="1059"/>
      <c r="AA48" s="1059"/>
      <c r="AB48" s="1059"/>
      <c r="AC48" s="1059"/>
      <c r="AD48" s="1059"/>
      <c r="AE48" s="1059"/>
      <c r="AF48" s="1059"/>
      <c r="AG48" s="1059"/>
      <c r="AH48" s="1059"/>
      <c r="AI48" s="1059"/>
      <c r="AJ48" s="1059"/>
      <c r="AK48" s="1950" t="s">
        <v>561</v>
      </c>
      <c r="AM48" s="1192"/>
      <c r="AN48" s="1192" t="str">
        <f>IF(T48="","",T48)</f>
        <v>Добавить значение признака дифференциации</v>
      </c>
      <c r="AO48" s="1192"/>
      <c r="AP48" s="1192"/>
      <c r="AQ48" s="1847">
        <v>20</v>
      </c>
    </row>
    <row customHeight="1" ht="22.049999999999997">
      <c r="A49" s="2055" t="s">
        <v>306</v>
      </c>
      <c r="B49" s="2055" t="s">
        <v>307</v>
      </c>
      <c r="C49" s="2055" t="s">
        <v>308</v>
      </c>
      <c r="D49" s="2055" t="s">
        <v>570</v>
      </c>
      <c r="E49" s="2951"/>
      <c r="F49" s="2951"/>
      <c r="G49" s="2951"/>
      <c r="H49" s="2951"/>
      <c r="I49" s="2948"/>
      <c r="J49" s="2055"/>
      <c r="K49" s="2055"/>
      <c r="L49" s="2056"/>
      <c r="P49" s="2949"/>
      <c r="Q49" s="2142"/>
      <c r="R49" s="1048"/>
      <c r="S49" s="1970"/>
      <c r="T49" s="1057" t="s">
        <v>487</v>
      </c>
      <c r="U49" s="1059"/>
      <c r="V49" s="1059"/>
      <c r="W49" s="1059"/>
      <c r="X49" s="1059"/>
      <c r="Y49" s="1059"/>
      <c r="Z49" s="1059"/>
      <c r="AA49" s="1059"/>
      <c r="AB49" s="1058"/>
      <c r="AC49" s="1059"/>
      <c r="AD49" s="1059"/>
      <c r="AE49" s="1059"/>
      <c r="AF49" s="1059"/>
      <c r="AG49" s="1059"/>
      <c r="AH49" s="1059"/>
      <c r="AI49" s="1058"/>
      <c r="AJ49" s="1059"/>
      <c r="AK49" s="2132"/>
      <c r="AM49" s="1192"/>
      <c r="AN49" s="1192" t="str">
        <f>IF(T49="","",T49)</f>
        <v>Добавить группу потребителей</v>
      </c>
      <c r="AO49" s="1192"/>
      <c r="AP49" s="1192"/>
      <c r="AQ49" s="1847">
        <v>21</v>
      </c>
    </row>
    <row customHeight="1" ht="22.049999999999997">
      <c r="A50" s="2055" t="s">
        <v>306</v>
      </c>
      <c r="B50" s="2055" t="s">
        <v>307</v>
      </c>
      <c r="C50" s="2055" t="s">
        <v>308</v>
      </c>
      <c r="D50" s="2055" t="s">
        <v>570</v>
      </c>
      <c r="E50" s="2951"/>
      <c r="F50" s="2951"/>
      <c r="G50" s="2951"/>
      <c r="H50" s="2950"/>
      <c r="I50" s="2055"/>
      <c r="J50" s="2055"/>
      <c r="K50" s="2055"/>
      <c r="L50" s="2056"/>
      <c r="M50" s="2057"/>
      <c r="N50" s="2057"/>
      <c r="O50" s="1229"/>
      <c r="P50" s="1052"/>
      <c r="Q50" s="1067"/>
      <c r="R50" s="1047"/>
      <c r="S50" s="1970"/>
      <c r="T50" s="1064" t="s">
        <v>562</v>
      </c>
      <c r="U50" s="1059"/>
      <c r="V50" s="1059"/>
      <c r="W50" s="1059"/>
      <c r="X50" s="1059"/>
      <c r="Y50" s="1059"/>
      <c r="Z50" s="1059"/>
      <c r="AA50" s="1059"/>
      <c r="AB50" s="1058"/>
      <c r="AC50" s="1059"/>
      <c r="AD50" s="1059"/>
      <c r="AE50" s="1059"/>
      <c r="AF50" s="1059"/>
      <c r="AG50" s="1059"/>
      <c r="AH50" s="1059"/>
      <c r="AI50" s="1058"/>
      <c r="AJ50" s="1059"/>
      <c r="AK50" s="995"/>
      <c r="AM50" s="1192"/>
      <c r="AN50" s="1192" t="str">
        <f>IF(T50="","",T50)</f>
        <v>Добавить наименование признака дифференциации</v>
      </c>
      <c r="AO50" s="1192"/>
      <c r="AP50" s="1192"/>
      <c r="AQ50" s="1847">
        <v>21</v>
      </c>
    </row>
    <row s="61695" customFormat="1" customHeight="1" ht="0">
      <c r="A51" s="2035" t="s">
        <v>306</v>
      </c>
      <c r="B51" s="2035" t="s">
        <v>307</v>
      </c>
      <c r="C51" s="2006"/>
      <c r="D51" s="2006"/>
      <c r="E51" s="2951"/>
      <c r="F51" s="2950"/>
      <c r="G51" s="2006"/>
      <c r="H51" s="2006"/>
      <c r="I51" s="2006"/>
      <c r="J51" s="2006"/>
      <c r="K51" s="2006"/>
      <c r="L51" s="2150"/>
      <c r="M51" s="2013"/>
      <c r="N51" s="2013"/>
      <c r="P51" s="2008"/>
      <c r="Q51" s="2009"/>
      <c r="R51" s="2008"/>
      <c r="S51" s="2014"/>
      <c r="T51" s="2017" t="s">
        <v>172</v>
      </c>
      <c r="U51" s="2016"/>
      <c r="V51" s="2016"/>
      <c r="W51" s="2016"/>
      <c r="X51" s="2016"/>
      <c r="Y51" s="2016"/>
      <c r="Z51" s="2016"/>
      <c r="AA51" s="2016"/>
      <c r="AB51" s="2016"/>
      <c r="AC51" s="2016"/>
      <c r="AD51" s="2016"/>
      <c r="AE51" s="2016"/>
      <c r="AF51" s="2016"/>
      <c r="AG51" s="2016"/>
      <c r="AH51" s="2016"/>
      <c r="AI51" s="2016"/>
      <c r="AJ51" s="2016"/>
      <c r="AK51" s="2016"/>
      <c r="AM51" s="1481"/>
      <c r="AN51" s="1481" t="str">
        <f>IF(T51="","",T51)</f>
        <v>Добавить централизованную систему для дифференциации</v>
      </c>
      <c r="AO51" s="1481"/>
      <c r="AP51" s="1481"/>
      <c r="AQ51" s="1210">
        <v>0</v>
      </c>
    </row>
    <row s="61695" customFormat="1" customHeight="1" ht="0">
      <c r="A52" s="2035" t="s">
        <v>306</v>
      </c>
      <c r="B52" s="2035"/>
      <c r="C52" s="2035"/>
      <c r="D52" s="2035"/>
      <c r="E52" s="2950"/>
      <c r="F52" s="2035"/>
      <c r="G52" s="2035"/>
      <c r="H52" s="2035"/>
      <c r="I52" s="2035"/>
      <c r="J52" s="2035"/>
      <c r="K52" s="2035"/>
      <c r="L52" s="2038"/>
      <c r="M52" s="2013"/>
      <c r="N52" s="2013"/>
      <c r="O52" s="1210"/>
      <c r="P52" s="1072"/>
      <c r="Q52" s="2036"/>
      <c r="R52" s="1072"/>
      <c r="S52" s="2014"/>
      <c r="T52" s="2017" t="s">
        <v>173</v>
      </c>
      <c r="U52" s="2016"/>
      <c r="V52" s="2016"/>
      <c r="W52" s="2016"/>
      <c r="X52" s="2016"/>
      <c r="Y52" s="2016"/>
      <c r="Z52" s="2016"/>
      <c r="AA52" s="2016"/>
      <c r="AB52" s="2016"/>
      <c r="AC52" s="2016"/>
      <c r="AD52" s="2016"/>
      <c r="AE52" s="2016"/>
      <c r="AF52" s="2016"/>
      <c r="AG52" s="2016"/>
      <c r="AH52" s="2016"/>
      <c r="AI52" s="2016"/>
      <c r="AJ52" s="2016"/>
      <c r="AK52" s="2016"/>
      <c r="AM52" s="1192"/>
      <c r="AN52" s="1192" t="str">
        <f>IF(T52="","",T52)</f>
        <v>Добавить территорию для дифференциации</v>
      </c>
      <c r="AO52" s="1192"/>
      <c r="AP52" s="1192"/>
      <c r="AQ52" s="1203">
        <v>0</v>
      </c>
    </row>
    <row s="61695" customFormat="1" customHeight="1" ht="0">
      <c r="A53" s="2006"/>
      <c r="B53" s="2006"/>
      <c r="C53" s="2006"/>
      <c r="D53" s="2006"/>
      <c r="E53" s="2035"/>
      <c r="F53" s="2006"/>
      <c r="G53" s="2006"/>
      <c r="H53" s="2006"/>
      <c r="I53" s="2006"/>
      <c r="J53" s="2006"/>
      <c r="K53" s="2006"/>
      <c r="L53" s="2150"/>
      <c r="M53" s="2013"/>
      <c r="N53" s="2013"/>
      <c r="P53" s="2008"/>
      <c r="Q53" s="2009"/>
      <c r="R53" s="2008"/>
      <c r="S53" s="2014"/>
      <c r="T53" s="2017" t="s">
        <v>186</v>
      </c>
      <c r="U53" s="2016"/>
      <c r="V53" s="2016"/>
      <c r="W53" s="2016"/>
      <c r="X53" s="2016"/>
      <c r="Y53" s="2016"/>
      <c r="Z53" s="2016"/>
      <c r="AA53" s="2016"/>
      <c r="AB53" s="2016"/>
      <c r="AC53" s="2016"/>
      <c r="AD53" s="2016"/>
      <c r="AE53" s="2016"/>
      <c r="AF53" s="2016"/>
      <c r="AG53" s="2016"/>
      <c r="AH53" s="2016"/>
      <c r="AI53" s="2016"/>
      <c r="AJ53" s="2016"/>
      <c r="AK53" s="2016"/>
      <c r="AM53" s="1481"/>
      <c r="AN53" s="1481" t="str">
        <f>IF(T53="","",T53)</f>
        <v>Добавить наименование тарифа</v>
      </c>
      <c r="AO53" s="1481"/>
      <c r="AP53" s="1481"/>
      <c r="AQ53" s="1210">
        <v>0</v>
      </c>
    </row>
    <row customHeight="1" ht="11.549999999999999">
      <c r="M54" s="1852"/>
      <c r="N54" s="1852"/>
      <c r="O54" s="1229"/>
      <c r="P54" s="1847"/>
      <c r="Q54" s="1847"/>
      <c r="R54" s="1847"/>
      <c r="S54" s="1847"/>
      <c r="AL54" s="1847"/>
      <c r="AM54" s="1847"/>
      <c r="AN54" s="1847"/>
      <c r="AO54" s="1847"/>
      <c r="AP54" s="1847"/>
      <c r="AQ54" s="1847">
        <v>11</v>
      </c>
    </row>
    <row customHeight="1" ht="14.699999999999998">
      <c r="O55" s="1229"/>
      <c r="S55" s="1945"/>
      <c r="T55" s="2977"/>
      <c r="U55" s="2977"/>
      <c r="V55" s="2977"/>
      <c r="W55" s="2977"/>
      <c r="X55" s="2977"/>
      <c r="Y55" s="2977"/>
      <c r="Z55" s="2977"/>
      <c r="AA55" s="2977"/>
      <c r="AB55" s="2977"/>
      <c r="AC55" s="2977"/>
      <c r="AD55" s="2977"/>
      <c r="AE55" s="2977"/>
      <c r="AF55" s="2977"/>
      <c r="AG55" s="2977"/>
      <c r="AH55" s="2977"/>
      <c r="AI55" s="2977"/>
      <c r="AJ55" s="2977"/>
      <c r="AK55" s="2977"/>
      <c r="AQ55" s="1847">
        <v>14</v>
      </c>
    </row>
    <row customHeight="1" ht="14.699999999999998">
      <c r="O56" s="1229"/>
      <c r="AQ56" s="1847">
        <v>14</v>
      </c>
    </row>
    <row customHeight="1" ht="14.699999999999998">
      <c r="O57" s="1229"/>
      <c r="S57" s="1945"/>
      <c r="T57" s="2977"/>
      <c r="U57" s="2977"/>
      <c r="V57" s="2977"/>
      <c r="W57" s="2977"/>
      <c r="X57" s="2977"/>
      <c r="Y57" s="2977"/>
      <c r="Z57" s="2977"/>
      <c r="AA57" s="2977"/>
      <c r="AB57" s="2977"/>
      <c r="AC57" s="2977"/>
      <c r="AD57" s="2977"/>
      <c r="AE57" s="2977"/>
      <c r="AF57" s="2977"/>
      <c r="AG57" s="2977"/>
      <c r="AH57" s="2977"/>
      <c r="AI57" s="2977"/>
      <c r="AJ57" s="2977"/>
      <c r="AK57" s="2977"/>
      <c r="AQ57" s="1847">
        <v>14</v>
      </c>
    </row>
    <row customHeight="1" ht="22.5" hidden="1">
      <c r="A58" s="1852" t="s">
        <v>83</v>
      </c>
      <c r="B58" s="1852">
        <v>0</v>
      </c>
      <c r="C58" s="1852">
        <v>0</v>
      </c>
      <c r="D58" s="1852">
        <v>0</v>
      </c>
      <c r="E58" s="1852">
        <v>0</v>
      </c>
      <c r="F58" s="1852">
        <v>0</v>
      </c>
      <c r="G58" s="1852">
        <v>0</v>
      </c>
      <c r="H58" s="1852">
        <v>0</v>
      </c>
      <c r="I58" s="1852">
        <v>0</v>
      </c>
      <c r="J58" s="1852">
        <v>0</v>
      </c>
      <c r="K58" s="1852">
        <v>0</v>
      </c>
      <c r="L58" s="2139">
        <v>0</v>
      </c>
      <c r="M58" s="2054">
        <v>0</v>
      </c>
      <c r="N58" s="2054">
        <v>0</v>
      </c>
      <c r="O58" s="2054">
        <v>0</v>
      </c>
      <c r="P58" s="2138">
        <v>3</v>
      </c>
      <c r="Q58" s="1036">
        <v>3</v>
      </c>
      <c r="R58" s="1036">
        <v>3</v>
      </c>
      <c r="S58" s="1273">
        <v>12</v>
      </c>
      <c r="T58" s="1847">
        <v>35</v>
      </c>
      <c r="U58" s="1847">
        <v>0</v>
      </c>
      <c r="V58" s="1847">
        <v>0</v>
      </c>
      <c r="W58" s="1847">
        <v>0</v>
      </c>
      <c r="X58" s="1847">
        <v>0</v>
      </c>
      <c r="Y58" s="1847">
        <v>0</v>
      </c>
      <c r="Z58" s="1847">
        <v>0</v>
      </c>
      <c r="AA58" s="1847">
        <v>0</v>
      </c>
      <c r="AB58" s="1847">
        <v>0</v>
      </c>
      <c r="AC58" s="1847">
        <v>24</v>
      </c>
      <c r="AD58" s="1847">
        <v>24</v>
      </c>
      <c r="AE58" s="1847">
        <v>24</v>
      </c>
      <c r="AF58" s="1847">
        <v>11</v>
      </c>
      <c r="AG58" s="1847">
        <v>3</v>
      </c>
      <c r="AH58" s="1847">
        <v>11</v>
      </c>
      <c r="AI58" s="1847">
        <v>0</v>
      </c>
      <c r="AJ58" s="1847">
        <v>4</v>
      </c>
      <c r="AK58" s="1847">
        <v>115</v>
      </c>
      <c r="AL58" s="1203">
        <v>10</v>
      </c>
      <c r="AM58" s="1203">
        <v>10</v>
      </c>
      <c r="AN58" s="1203">
        <v>10</v>
      </c>
      <c r="AO58" s="1203">
        <v>10</v>
      </c>
      <c r="AP58" s="1203">
        <v>10</v>
      </c>
      <c r="AQ58" s="1847">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40011D-C60A-231C-EE85-9D438FB6486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4.140625" hidden="1" customWidth="1"/>
    <col min="10" max="10" style="62148" width="9.8515625" hidden="1" customWidth="1"/>
    <col min="11" max="11" style="62148" width="14.7109375" hidden="1" customWidth="1"/>
    <col min="12" max="12" style="63164" width="19.140625" hidden="1" customWidth="1"/>
    <col min="13" max="14" style="61371" width="12.28125" hidden="1" customWidth="1"/>
    <col min="15" max="15" style="61371" width="23.421875" hidden="1" customWidth="1"/>
    <col min="16" max="16" style="63184" width="3.00390625" customWidth="1"/>
    <col min="17" max="18" style="62288" width="3.00390625" customWidth="1"/>
    <col min="19" max="19" style="63156" width="12.00390625" customWidth="1"/>
    <col min="20" max="20" style="62286" width="35.00390625" customWidth="1"/>
    <col min="21" max="21" style="62286" width="0.140625" customWidth="1"/>
    <col min="22" max="24" style="62286" width="24.7109375" hidden="1" customWidth="1"/>
    <col min="25" max="25" style="62286" width="11.7109375" hidden="1" customWidth="1"/>
    <col min="26" max="26" style="62286" width="3.7109375" hidden="1" customWidth="1"/>
    <col min="27" max="27" style="62286" width="11.7109375" hidden="1" customWidth="1"/>
    <col min="28" max="28" style="62286" width="8.57421875" hidden="1" customWidth="1"/>
    <col min="29" max="29" style="62286" width="24.7109375" customWidth="1"/>
    <col min="30" max="31" style="62286" width="24.00390625" customWidth="1"/>
    <col min="32" max="32" style="62286" width="11.00390625" customWidth="1"/>
    <col min="33" max="33" style="62286" width="3.7109375" customWidth="1"/>
    <col min="34" max="34" style="62286" width="11.00390625" customWidth="1"/>
    <col min="35" max="35" style="62286" width="8.57421875" hidden="1" customWidth="1"/>
    <col min="36" max="36" style="62286" width="4.00390625" customWidth="1"/>
    <col min="37" max="37" style="62286" width="115.00390625" customWidth="1"/>
    <col min="38" max="42" style="61695" width="10.00390625" customWidth="1"/>
    <col min="43" max="43" style="62286" width="10.57421875" hidden="1"/>
  </cols>
  <sheetData>
    <row customHeight="1" ht="22.5" hidden="1">
      <c r="X1" s="1019"/>
      <c r="Y1" s="1019"/>
      <c r="AE1" s="1019"/>
      <c r="AF1" s="1019"/>
      <c r="AQ1" s="1847" t="s">
        <v>14</v>
      </c>
    </row>
    <row customHeight="1" ht="23.25" hidden="1">
      <c r="A2" s="2055"/>
      <c r="B2" s="2055"/>
      <c r="C2" s="2055"/>
      <c r="D2" s="2055"/>
      <c r="E2" s="2950">
        <v>1</v>
      </c>
      <c r="F2" s="2055"/>
      <c r="G2" s="2055"/>
      <c r="H2" s="2055"/>
      <c r="I2" s="2055"/>
      <c r="J2" s="2055"/>
      <c r="K2" s="2055"/>
      <c r="L2" s="2056"/>
      <c r="M2" s="2057"/>
      <c r="N2" s="2057"/>
      <c r="O2" s="2057"/>
      <c r="P2" s="1053"/>
      <c r="Q2" s="1052"/>
      <c r="R2" s="1047"/>
      <c r="S2" s="2149">
        <f>INDEX(PT_DIFFERENTIATION_NUM_NTAR,MATCH(A2,PT_DIFFERENTIATION_NTAR_ID,0))</f>
      </c>
      <c r="T2" s="990" t="s">
        <v>131</v>
      </c>
      <c r="U2" s="992"/>
      <c r="V2" s="2934"/>
      <c r="W2" s="2935"/>
      <c r="X2" s="2935"/>
      <c r="Y2" s="2935"/>
      <c r="Z2" s="2935"/>
      <c r="AA2" s="2935"/>
      <c r="AB2" s="2936"/>
      <c r="AC2" s="2934">
        <f>INDEX(PT_DIFFERENTIATION_NTAR,MATCH(A2,PT_DIFFERENTIATION_NTAR_ID,0))</f>
      </c>
      <c r="AD2" s="2935"/>
      <c r="AE2" s="2935"/>
      <c r="AF2" s="2935"/>
      <c r="AG2" s="2935"/>
      <c r="AH2" s="2935"/>
      <c r="AI2" s="2935"/>
      <c r="AJ2" s="2936"/>
      <c r="AK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92"/>
      <c r="AN2" s="1192" t="str">
        <f>IF(T2="","",T2)</f>
        <v>Наименование тарифа</v>
      </c>
      <c r="AO2" s="1192"/>
      <c r="AP2" s="1192"/>
      <c r="AQ2" s="1847">
        <v>0</v>
      </c>
    </row>
    <row customHeight="1" ht="23.25" hidden="1">
      <c r="A3" s="2055"/>
      <c r="B3" s="2055"/>
      <c r="C3" s="2055"/>
      <c r="D3" s="2055"/>
      <c r="E3" s="2951"/>
      <c r="F3" s="2950">
        <v>1</v>
      </c>
      <c r="G3" s="2055"/>
      <c r="H3" s="2055"/>
      <c r="I3" s="2055"/>
      <c r="J3" s="2055"/>
      <c r="K3" s="2055"/>
      <c r="L3" s="2056"/>
      <c r="M3" s="2057"/>
      <c r="N3" s="2057"/>
      <c r="O3" s="2057"/>
      <c r="P3" s="2145"/>
      <c r="Q3" s="1044"/>
      <c r="R3" s="1045"/>
      <c r="S3" s="2149">
        <f>INDEX(PT_DIFFERENTIATION_NUM_TER,MATCH(B3,PT_DIFFERENTIATION_TER_ID,0))</f>
      </c>
      <c r="T3" s="1000" t="s">
        <v>472</v>
      </c>
      <c r="U3" s="992"/>
      <c r="V3" s="2934"/>
      <c r="W3" s="2935"/>
      <c r="X3" s="2935"/>
      <c r="Y3" s="2935"/>
      <c r="Z3" s="2935"/>
      <c r="AA3" s="2935"/>
      <c r="AB3" s="2936"/>
      <c r="AC3" s="2934">
        <f>INDEX(PT_DIFFERENTIATION_TER,MATCH(B3,PT_DIFFERENTIATION_TER_ID,0))</f>
      </c>
      <c r="AD3" s="2935"/>
      <c r="AE3" s="2935"/>
      <c r="AF3" s="2935"/>
      <c r="AG3" s="2935"/>
      <c r="AH3" s="2935"/>
      <c r="AI3" s="2935"/>
      <c r="AJ3" s="2936"/>
      <c r="AK3" s="1950" t="s">
        <v>473</v>
      </c>
      <c r="AM3" s="1192"/>
      <c r="AN3" s="1192" t="str">
        <f>IF(T3="","",T3)</f>
        <v>Территория действия тарифа</v>
      </c>
      <c r="AO3" s="1192"/>
      <c r="AP3" s="1192"/>
      <c r="AQ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149">
        <f>INDEX(PT_DIFFERENTIATION_NUM_CS,MATCH(C4,PT_DIFFERENTIATION_CS_ID,0))</f>
      </c>
      <c r="T4" s="1001" t="s">
        <v>555</v>
      </c>
      <c r="U4" s="992"/>
      <c r="V4" s="2934"/>
      <c r="W4" s="2935"/>
      <c r="X4" s="2935"/>
      <c r="Y4" s="2935"/>
      <c r="Z4" s="2935"/>
      <c r="AA4" s="2935"/>
      <c r="AB4" s="2936"/>
      <c r="AC4" s="2934">
        <f>INDEX(PT_DIFFERENTIATION_CS,MATCH(C4,PT_DIFFERENTIATION_CS_ID,0))</f>
      </c>
      <c r="AD4" s="2935"/>
      <c r="AE4" s="2935"/>
      <c r="AF4" s="2935"/>
      <c r="AG4" s="2935"/>
      <c r="AH4" s="2935"/>
      <c r="AI4" s="2935"/>
      <c r="AJ4" s="2936"/>
      <c r="AK4" s="1950" t="s">
        <v>556</v>
      </c>
      <c r="AM4" s="1192"/>
      <c r="AN4" s="1192" t="str">
        <f>IF(T4="","",T4)</f>
        <v>Наименование централизованной системы холодного водоснабжения</v>
      </c>
      <c r="AO4" s="1192"/>
      <c r="AP4" s="1192"/>
      <c r="AQ4" s="1847">
        <v>0</v>
      </c>
    </row>
    <row customHeight="1" ht="23.25" hidden="1">
      <c r="A5" s="2055"/>
      <c r="B5" s="2055"/>
      <c r="C5" s="2055"/>
      <c r="D5" s="2055"/>
      <c r="E5" s="2951"/>
      <c r="F5" s="2951"/>
      <c r="G5" s="2951"/>
      <c r="H5" s="2951"/>
      <c r="I5" s="2948">
        <f>S4&amp;".1"</f>
      </c>
      <c r="J5" s="2055"/>
      <c r="K5" s="2055"/>
      <c r="L5" s="2056"/>
      <c r="P5" s="2949">
        <v>1</v>
      </c>
      <c r="Q5" s="2142"/>
      <c r="R5" s="1048"/>
      <c r="S5" s="2149">
        <f>$I5</f>
      </c>
      <c r="T5" s="977" t="s">
        <v>557</v>
      </c>
      <c r="U5" s="992"/>
      <c r="V5" s="3042"/>
      <c r="W5" s="3043"/>
      <c r="X5" s="3043"/>
      <c r="Y5" s="3043"/>
      <c r="Z5" s="3043"/>
      <c r="AA5" s="3043"/>
      <c r="AB5" s="3044"/>
      <c r="AC5" s="3045"/>
      <c r="AD5" s="3046"/>
      <c r="AE5" s="3046"/>
      <c r="AF5" s="3046"/>
      <c r="AG5" s="3046"/>
      <c r="AH5" s="3046"/>
      <c r="AI5" s="3046"/>
      <c r="AJ5" s="3047"/>
      <c r="AK5" s="1950" t="s">
        <v>558</v>
      </c>
      <c r="AM5" s="1192"/>
      <c r="AN5" s="1192" t="str">
        <f>IF(T5="","",T5)</f>
        <v>Наименование признака дифференциации</v>
      </c>
      <c r="AO5" s="1192"/>
      <c r="AP5" s="1192"/>
      <c r="AQ5" s="1847">
        <v>0</v>
      </c>
    </row>
    <row customHeight="1" ht="23.25" hidden="1">
      <c r="A6" s="2055"/>
      <c r="B6" s="2055"/>
      <c r="C6" s="2055"/>
      <c r="D6" s="2055"/>
      <c r="E6" s="2951"/>
      <c r="F6" s="2951"/>
      <c r="G6" s="2951"/>
      <c r="H6" s="2951"/>
      <c r="I6" s="2978"/>
      <c r="J6" s="2948">
        <f>I5&amp;".1"</f>
      </c>
      <c r="K6" s="2055"/>
      <c r="L6" s="2056" t="s">
        <v>481</v>
      </c>
      <c r="P6" s="2949"/>
      <c r="Q6" s="2949">
        <v>1</v>
      </c>
      <c r="R6" s="1049"/>
      <c r="S6" s="2149">
        <f>$J6</f>
      </c>
      <c r="T6" s="978" t="s">
        <v>482</v>
      </c>
      <c r="U6" s="992"/>
      <c r="V6" s="2937"/>
      <c r="W6" s="2938"/>
      <c r="X6" s="2938"/>
      <c r="Y6" s="2938"/>
      <c r="Z6" s="2938"/>
      <c r="AA6" s="2938"/>
      <c r="AB6" s="2939"/>
      <c r="AC6" s="2937"/>
      <c r="AD6" s="2938"/>
      <c r="AE6" s="2938"/>
      <c r="AF6" s="2938"/>
      <c r="AG6" s="2938"/>
      <c r="AH6" s="2938"/>
      <c r="AI6" s="2938"/>
      <c r="AJ6" s="2939"/>
      <c r="AK6" s="1999" t="s">
        <v>559</v>
      </c>
      <c r="AM6" s="1192"/>
      <c r="AN6" s="1192" t="str">
        <f>IF(T6="","",T6)</f>
        <v>Группа потребителей</v>
      </c>
      <c r="AO6" s="1192"/>
      <c r="AP6" s="1192"/>
      <c r="AQ6" s="1847">
        <v>0</v>
      </c>
    </row>
    <row customHeight="1" ht="23.25" hidden="1">
      <c r="A7" s="2055"/>
      <c r="B7" s="2055"/>
      <c r="C7" s="2055"/>
      <c r="D7" s="2055"/>
      <c r="E7" s="2951"/>
      <c r="F7" s="2951"/>
      <c r="G7" s="2951"/>
      <c r="H7" s="2951"/>
      <c r="I7" s="2978"/>
      <c r="J7" s="2978"/>
      <c r="K7" s="2948">
        <f>J6&amp;".1"</f>
      </c>
      <c r="L7" s="2056"/>
      <c r="P7" s="2949"/>
      <c r="Q7" s="2949"/>
      <c r="R7" s="1049">
        <v>1</v>
      </c>
      <c r="S7" s="2149">
        <f>$K7</f>
      </c>
      <c r="T7" s="2129"/>
      <c r="U7" s="992"/>
      <c r="V7" s="1443"/>
      <c r="W7" s="1443"/>
      <c r="X7" s="1949"/>
      <c r="Y7" s="2957"/>
      <c r="Z7" s="2799" t="s">
        <v>67</v>
      </c>
      <c r="AA7" s="2957"/>
      <c r="AB7" s="2799" t="s">
        <v>67</v>
      </c>
      <c r="AC7" s="1443"/>
      <c r="AD7" s="1443"/>
      <c r="AE7" s="1949"/>
      <c r="AF7" s="2957"/>
      <c r="AG7" s="2799" t="s">
        <v>67</v>
      </c>
      <c r="AH7" s="2979"/>
      <c r="AI7" s="2799" t="s">
        <v>67</v>
      </c>
      <c r="AJ7" s="2130"/>
      <c r="AK7"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03">
        <f>STRCHECKDATE(V8:AJ8)</f>
      </c>
      <c r="AM7" s="1192"/>
      <c r="AN7" s="1192" t="str">
        <f>IF(T7="","",T7)</f>
        <v/>
      </c>
      <c r="AO7" s="1192"/>
      <c r="AP7" s="1192"/>
      <c r="AQ7" s="1847">
        <v>0</v>
      </c>
    </row>
    <row customHeight="1" ht="14.25" hidden="1">
      <c r="A8" s="2055"/>
      <c r="B8" s="2055"/>
      <c r="C8" s="2055"/>
      <c r="D8" s="2055"/>
      <c r="E8" s="2951"/>
      <c r="F8" s="2951"/>
      <c r="G8" s="2951"/>
      <c r="H8" s="2951"/>
      <c r="I8" s="2978"/>
      <c r="J8" s="2978"/>
      <c r="K8" s="2948"/>
      <c r="L8" s="2056"/>
      <c r="P8" s="2949"/>
      <c r="Q8" s="2949"/>
      <c r="R8" s="1049"/>
      <c r="S8" s="2148"/>
      <c r="T8" s="992"/>
      <c r="U8" s="992"/>
      <c r="V8" s="1017"/>
      <c r="W8" s="1017"/>
      <c r="X8" s="1020" t="str">
        <f>Y7&amp;"-"&amp;AA7</f>
        <v>-</v>
      </c>
      <c r="Y8" s="2958"/>
      <c r="Z8" s="2799"/>
      <c r="AA8" s="2958"/>
      <c r="AB8" s="2799"/>
      <c r="AC8" s="1017"/>
      <c r="AD8" s="1017"/>
      <c r="AE8" s="1020" t="str">
        <f>AF7&amp;"-"&amp;AH7</f>
        <v>-</v>
      </c>
      <c r="AF8" s="2958"/>
      <c r="AG8" s="2799"/>
      <c r="AH8" s="2980"/>
      <c r="AI8" s="2799"/>
      <c r="AJ8" s="2131"/>
      <c r="AK8" s="3041"/>
      <c r="AM8" s="1192"/>
      <c r="AN8" s="1192" t="str">
        <f>IF(T8="","",T8)</f>
        <v/>
      </c>
      <c r="AO8" s="1192"/>
      <c r="AP8" s="1192"/>
      <c r="AQ8" s="1847">
        <v>0</v>
      </c>
    </row>
    <row customHeight="1" ht="21" hidden="1">
      <c r="A9" s="2055"/>
      <c r="B9" s="2055"/>
      <c r="C9" s="2055"/>
      <c r="D9" s="2055"/>
      <c r="E9" s="2951"/>
      <c r="F9" s="2951"/>
      <c r="G9" s="2951"/>
      <c r="H9" s="2951"/>
      <c r="I9" s="2978"/>
      <c r="J9" s="2948"/>
      <c r="K9" s="2055"/>
      <c r="L9" s="2056"/>
      <c r="P9" s="2949"/>
      <c r="Q9" s="2949"/>
      <c r="R9" s="1048"/>
      <c r="S9" s="1970"/>
      <c r="T9" s="979" t="s">
        <v>560</v>
      </c>
      <c r="U9" s="1059"/>
      <c r="V9" s="1059"/>
      <c r="W9" s="1059"/>
      <c r="X9" s="1059"/>
      <c r="Y9" s="1059"/>
      <c r="Z9" s="1059"/>
      <c r="AA9" s="1059"/>
      <c r="AB9" s="1059"/>
      <c r="AC9" s="1059"/>
      <c r="AD9" s="1059"/>
      <c r="AE9" s="1059"/>
      <c r="AF9" s="1059"/>
      <c r="AG9" s="1059"/>
      <c r="AH9" s="1059"/>
      <c r="AI9" s="1059"/>
      <c r="AJ9" s="1059"/>
      <c r="AK9" s="1950" t="s">
        <v>561</v>
      </c>
      <c r="AM9" s="1192"/>
      <c r="AN9" s="1192" t="str">
        <f>IF(T9="","",T9)</f>
        <v>Добавить значение признака дифференциации</v>
      </c>
      <c r="AO9" s="1192"/>
      <c r="AP9" s="1192"/>
      <c r="AQ9" s="1847">
        <v>0</v>
      </c>
    </row>
    <row customHeight="1" ht="21" hidden="1">
      <c r="A10" s="2055"/>
      <c r="B10" s="2055"/>
      <c r="C10" s="2055"/>
      <c r="D10" s="2055"/>
      <c r="E10" s="2951"/>
      <c r="F10" s="2951"/>
      <c r="G10" s="2951"/>
      <c r="H10" s="2951"/>
      <c r="I10" s="2948"/>
      <c r="J10" s="2055"/>
      <c r="K10" s="2055"/>
      <c r="L10" s="2056"/>
      <c r="P10" s="2949"/>
      <c r="Q10" s="2142"/>
      <c r="R10" s="1048"/>
      <c r="S10" s="1970"/>
      <c r="T10" s="1057" t="s">
        <v>487</v>
      </c>
      <c r="U10" s="1059"/>
      <c r="V10" s="1059"/>
      <c r="W10" s="1059"/>
      <c r="X10" s="1059"/>
      <c r="Y10" s="1059"/>
      <c r="Z10" s="1059"/>
      <c r="AA10" s="1059"/>
      <c r="AB10" s="1058"/>
      <c r="AC10" s="1059"/>
      <c r="AD10" s="1059"/>
      <c r="AE10" s="1059"/>
      <c r="AF10" s="1059"/>
      <c r="AG10" s="1059"/>
      <c r="AH10" s="1059"/>
      <c r="AI10" s="1058"/>
      <c r="AJ10" s="1059"/>
      <c r="AK10" s="2132"/>
      <c r="AM10" s="1192"/>
      <c r="AN10" s="1192" t="str">
        <f>IF(T10="","",T10)</f>
        <v>Добавить группу потребителей</v>
      </c>
      <c r="AO10" s="1192"/>
      <c r="AP10" s="1192"/>
      <c r="AQ10" s="1847">
        <v>0</v>
      </c>
    </row>
    <row customHeight="1" ht="21" hidden="1">
      <c r="A11" s="2055"/>
      <c r="B11" s="2055"/>
      <c r="C11" s="2055"/>
      <c r="D11" s="2055"/>
      <c r="E11" s="2951"/>
      <c r="F11" s="2951"/>
      <c r="G11" s="2951"/>
      <c r="H11" s="2950"/>
      <c r="I11" s="2055"/>
      <c r="J11" s="2055"/>
      <c r="K11" s="2055"/>
      <c r="L11" s="2056"/>
      <c r="M11" s="2057"/>
      <c r="N11" s="2057"/>
      <c r="O11" s="1229"/>
      <c r="P11" s="1052"/>
      <c r="Q11" s="1067"/>
      <c r="R11" s="1047"/>
      <c r="S11" s="1970"/>
      <c r="T11" s="1064" t="s">
        <v>562</v>
      </c>
      <c r="U11" s="1059"/>
      <c r="V11" s="1059"/>
      <c r="W11" s="1059"/>
      <c r="X11" s="1059"/>
      <c r="Y11" s="1059"/>
      <c r="Z11" s="1059"/>
      <c r="AA11" s="1059"/>
      <c r="AB11" s="1058"/>
      <c r="AC11" s="1059"/>
      <c r="AD11" s="1059"/>
      <c r="AE11" s="1059"/>
      <c r="AF11" s="1059"/>
      <c r="AG11" s="1059"/>
      <c r="AH11" s="1059"/>
      <c r="AI11" s="1058"/>
      <c r="AJ11" s="1059"/>
      <c r="AK11" s="995"/>
      <c r="AM11" s="1192"/>
      <c r="AN11" s="1192" t="str">
        <f>IF(T11="","",T11)</f>
        <v>Добавить наименование признака дифференциации</v>
      </c>
      <c r="AO11" s="1192"/>
      <c r="AP11" s="1192"/>
      <c r="AQ11" s="1847">
        <v>0</v>
      </c>
    </row>
    <row s="61695" customFormat="1" customHeight="1" ht="14.25" hidden="1">
      <c r="A12" s="2035"/>
      <c r="B12" s="2035"/>
      <c r="C12" s="2006"/>
      <c r="D12" s="2006"/>
      <c r="E12" s="2951"/>
      <c r="F12" s="2950"/>
      <c r="G12" s="2006"/>
      <c r="H12" s="2006"/>
      <c r="I12" s="2006"/>
      <c r="J12" s="2006"/>
      <c r="K12" s="2006"/>
      <c r="L12" s="2150"/>
      <c r="M12" s="2013"/>
      <c r="N12" s="2013"/>
      <c r="P12" s="2008"/>
      <c r="Q12" s="2009"/>
      <c r="R12" s="2008"/>
      <c r="S12" s="2014"/>
      <c r="T12" s="2017" t="s">
        <v>172</v>
      </c>
      <c r="U12" s="2016"/>
      <c r="V12" s="2016"/>
      <c r="W12" s="2016"/>
      <c r="X12" s="2016"/>
      <c r="Y12" s="2016"/>
      <c r="Z12" s="2016"/>
      <c r="AA12" s="2016"/>
      <c r="AB12" s="2016"/>
      <c r="AC12" s="2016"/>
      <c r="AD12" s="2016"/>
      <c r="AE12" s="2016"/>
      <c r="AF12" s="2016"/>
      <c r="AG12" s="2016"/>
      <c r="AH12" s="2016"/>
      <c r="AI12" s="2016"/>
      <c r="AJ12" s="2016"/>
      <c r="AK12" s="2016"/>
      <c r="AM12" s="1481"/>
      <c r="AN12" s="1481" t="str">
        <f>IF(T12="","",T12)</f>
        <v>Добавить централизованную систему для дифференциации</v>
      </c>
      <c r="AO12" s="1481"/>
      <c r="AP12" s="1481"/>
      <c r="AQ12" s="1210">
        <v>0</v>
      </c>
    </row>
    <row s="61695" customFormat="1" customHeight="1" ht="14.25" hidden="1">
      <c r="A13" s="2035"/>
      <c r="B13" s="2035"/>
      <c r="C13" s="2035"/>
      <c r="D13" s="2035"/>
      <c r="E13" s="2950"/>
      <c r="F13" s="2035"/>
      <c r="G13" s="2035"/>
      <c r="H13" s="2035"/>
      <c r="I13" s="2035"/>
      <c r="J13" s="2035"/>
      <c r="K13" s="2035"/>
      <c r="L13" s="2038"/>
      <c r="M13" s="2013"/>
      <c r="N13" s="2013"/>
      <c r="O13" s="1210"/>
      <c r="P13" s="1072"/>
      <c r="Q13" s="2036"/>
      <c r="R13" s="1072"/>
      <c r="S13" s="2014"/>
      <c r="T13" s="2017" t="s">
        <v>173</v>
      </c>
      <c r="U13" s="2016"/>
      <c r="V13" s="2016"/>
      <c r="W13" s="2016"/>
      <c r="X13" s="2016"/>
      <c r="Y13" s="2016"/>
      <c r="Z13" s="2016"/>
      <c r="AA13" s="2016"/>
      <c r="AB13" s="2016"/>
      <c r="AC13" s="2016"/>
      <c r="AD13" s="2016"/>
      <c r="AE13" s="2016"/>
      <c r="AF13" s="2016"/>
      <c r="AG13" s="2016"/>
      <c r="AH13" s="2016"/>
      <c r="AI13" s="2016"/>
      <c r="AJ13" s="2016"/>
      <c r="AK13" s="2016"/>
      <c r="AM13" s="1192"/>
      <c r="AN13" s="1192" t="str">
        <f>IF(T13="","",T13)</f>
        <v>Добавить территорию для дифференциации</v>
      </c>
      <c r="AO13" s="1192"/>
      <c r="AP13" s="1192"/>
      <c r="AQ13" s="1203">
        <v>0</v>
      </c>
    </row>
    <row customHeight="1" ht="14.25" hidden="1">
      <c r="AB14" s="1019"/>
      <c r="AI14" s="1019"/>
      <c r="AQ14" s="1847">
        <v>0</v>
      </c>
    </row>
    <row customHeight="1" ht="14.25" hidden="1">
      <c r="AC15" s="2052"/>
      <c r="AD15" s="2052"/>
      <c r="AE15" s="2053"/>
      <c r="AF15" s="2959"/>
      <c r="AG15" s="2960" t="s">
        <v>67</v>
      </c>
      <c r="AH15" s="2959"/>
      <c r="AI15" s="2960" t="s">
        <v>67</v>
      </c>
      <c r="AQ15" s="1847">
        <v>0</v>
      </c>
    </row>
    <row customHeight="1" ht="14.25" hidden="1">
      <c r="AC16" s="2052"/>
      <c r="AD16" s="2052"/>
      <c r="AE16" s="1020" t="str">
        <f>AF15&amp;"-"&amp;AH15</f>
        <v>-</v>
      </c>
      <c r="AF16" s="2960"/>
      <c r="AG16" s="2960"/>
      <c r="AH16" s="2960"/>
      <c r="AI16" s="2960"/>
      <c r="AQ16" s="1847">
        <v>0</v>
      </c>
    </row>
    <row customHeight="1" ht="14.25" hidden="1">
      <c r="AI17" s="1019"/>
      <c r="AQ17" s="1847">
        <v>0</v>
      </c>
    </row>
    <row s="62148" customFormat="1" customHeight="1" ht="22.5" hidden="1">
      <c r="L18" s="2139"/>
      <c r="M18" s="2054"/>
      <c r="N18" s="2054"/>
      <c r="O18" s="2059" t="s">
        <v>489</v>
      </c>
      <c r="P18" s="2054"/>
      <c r="Q18" s="2063"/>
      <c r="R18" s="2063"/>
      <c r="S18" s="1421"/>
      <c r="Y18" s="2059"/>
      <c r="AA18" s="2059"/>
      <c r="AB18" s="2058"/>
      <c r="AF18" s="2059"/>
      <c r="AH18" s="2059"/>
      <c r="AI18" s="2058"/>
      <c r="AL18" s="1203"/>
      <c r="AM18" s="1203"/>
      <c r="AN18" s="1203"/>
      <c r="AO18" s="1203"/>
      <c r="AP18" s="1203"/>
      <c r="AQ18" s="1852">
        <v>0</v>
      </c>
    </row>
    <row s="62148" customFormat="1" customHeight="1" ht="14.25" hidden="1">
      <c r="L19" s="2139"/>
      <c r="M19" s="2054"/>
      <c r="N19" s="2054"/>
      <c r="O19" s="2054"/>
      <c r="P19" s="2054"/>
      <c r="Q19" s="2063"/>
      <c r="R19" s="2063"/>
      <c r="S19" s="1421"/>
      <c r="AB19" s="2058"/>
      <c r="AI19" s="2058"/>
      <c r="AL19" s="1203"/>
      <c r="AM19" s="1203"/>
      <c r="AN19" s="1203"/>
      <c r="AO19" s="1203"/>
      <c r="AP19" s="1203"/>
      <c r="AQ19" s="1852">
        <v>0</v>
      </c>
    </row>
    <row s="62148" customFormat="1" customHeight="1" ht="12" hidden="1">
      <c r="L20" s="2139"/>
      <c r="M20" s="2054"/>
      <c r="N20" s="2054"/>
      <c r="O20" s="2056" t="s">
        <v>490</v>
      </c>
      <c r="P20" s="2054"/>
      <c r="Q20" s="2134"/>
      <c r="R20" s="2134"/>
      <c r="S20" s="1421"/>
      <c r="T20" s="1852" t="s">
        <v>491</v>
      </c>
      <c r="Z20" s="878" t="s">
        <v>492</v>
      </c>
      <c r="AB20" s="878" t="s">
        <v>493</v>
      </c>
      <c r="AC20" s="1852" t="s">
        <v>491</v>
      </c>
      <c r="AG20" s="878" t="s">
        <v>494</v>
      </c>
      <c r="AI20" s="878" t="s">
        <v>493</v>
      </c>
      <c r="AQ20" s="1852">
        <v>0</v>
      </c>
    </row>
    <row customHeight="1" ht="14.25" hidden="1">
      <c r="O21" s="2056"/>
      <c r="AQ21" s="1847">
        <v>0</v>
      </c>
    </row>
    <row customHeight="1" ht="14.25" hidden="1">
      <c r="O22" s="2056"/>
      <c r="AQ22" s="1847">
        <v>0</v>
      </c>
    </row>
    <row customHeight="1" ht="14.699999999999998">
      <c r="Q23" s="1068"/>
      <c r="R23" s="1068"/>
      <c r="S23" s="1967"/>
      <c r="T23" s="1055"/>
      <c r="U23" s="1055"/>
      <c r="V23" s="1201"/>
      <c r="W23" s="1201"/>
      <c r="X23" s="1201"/>
      <c r="Y23" s="1201"/>
      <c r="Z23" s="1201"/>
      <c r="AA23" s="1201"/>
      <c r="AB23" s="1201"/>
      <c r="AC23" s="1201"/>
      <c r="AD23" s="1201"/>
      <c r="AE23" s="1201"/>
      <c r="AF23" s="1201"/>
      <c r="AG23" s="1201"/>
      <c r="AH23" s="1201"/>
      <c r="AI23" s="1201"/>
      <c r="AQ23" s="1847">
        <v>14</v>
      </c>
    </row>
    <row customHeight="1" ht="14.699999999999998">
      <c r="Q24" s="1068"/>
      <c r="R24" s="1068"/>
      <c r="S24" s="294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40"/>
      <c r="U24" s="2940"/>
      <c r="V24" s="2940"/>
      <c r="W24" s="2940"/>
      <c r="X24" s="2940"/>
      <c r="Y24" s="2940"/>
      <c r="Z24" s="2940"/>
      <c r="AA24" s="2940"/>
      <c r="AB24" s="2940"/>
      <c r="AC24" s="2940"/>
      <c r="AD24" s="2940"/>
      <c r="AE24" s="2940"/>
      <c r="AF24" s="2940"/>
      <c r="AG24" s="2940"/>
      <c r="AH24" s="2940"/>
      <c r="AI24" s="1935"/>
      <c r="AQ24" s="1847">
        <v>14</v>
      </c>
    </row>
    <row customHeight="1" ht="14.699999999999998">
      <c r="Q25" s="1068"/>
      <c r="R25" s="1068"/>
      <c r="S25" s="2941" t="str">
        <f>IF(org=0,"Не определено",org)</f>
        <v>АО "ДГК"</v>
      </c>
      <c r="T25" s="2941"/>
      <c r="U25" s="2941"/>
      <c r="V25" s="2941"/>
      <c r="W25" s="2941"/>
      <c r="X25" s="2941"/>
      <c r="Y25" s="2941"/>
      <c r="Z25" s="2941"/>
      <c r="AA25" s="2941"/>
      <c r="AB25" s="2941"/>
      <c r="AC25" s="2941"/>
      <c r="AD25" s="2941"/>
      <c r="AE25" s="2941"/>
      <c r="AF25" s="2941"/>
      <c r="AG25" s="2941"/>
      <c r="AH25" s="2941"/>
      <c r="AI25" s="1935"/>
      <c r="AQ25" s="1847">
        <v>14</v>
      </c>
    </row>
    <row customHeight="1" ht="14.25" hidden="1">
      <c r="Q26" s="1068"/>
      <c r="R26" s="1068"/>
      <c r="S26" s="1967"/>
      <c r="T26" s="1055"/>
      <c r="U26" s="1055"/>
      <c r="V26" s="1014"/>
      <c r="W26" s="1014"/>
      <c r="X26" s="1014"/>
      <c r="Y26" s="1014"/>
      <c r="Z26" s="1014"/>
      <c r="AA26" s="1014"/>
      <c r="AB26" s="1014"/>
      <c r="AC26" s="1014"/>
      <c r="AD26" s="1014"/>
      <c r="AE26" s="1014"/>
      <c r="AF26" s="1014"/>
      <c r="AG26" s="1014"/>
      <c r="AH26" s="1014"/>
      <c r="AI26" s="1014"/>
      <c r="AJ26" s="1201"/>
      <c r="AQ26" s="1847">
        <v>0</v>
      </c>
    </row>
    <row s="63055" customFormat="1" customHeight="1" ht="25.5" hidden="1">
      <c r="A27" s="2060"/>
      <c r="B27" s="2060"/>
      <c r="C27" s="2060"/>
      <c r="D27" s="2060"/>
      <c r="E27" s="2060"/>
      <c r="F27" s="2060"/>
      <c r="G27" s="2060"/>
      <c r="H27" s="2060"/>
      <c r="I27" s="2060"/>
      <c r="J27" s="2060"/>
      <c r="K27" s="2060"/>
      <c r="L27" s="2061"/>
      <c r="M27" s="2060"/>
      <c r="N27" s="2060"/>
      <c r="O27" s="2060"/>
      <c r="S27" s="2942" t="s">
        <v>42</v>
      </c>
      <c r="T27" s="2942"/>
      <c r="U27" s="2064"/>
      <c r="V27" s="2943" t="str">
        <f>IF(TITLE_NAME_OR_PR_CHANGE="",IF(TITLE_NAME_OR_PR="","",TITLE_NAME_OR_PR),TITLE_NAME_OR_PR_CHANGE)</f>
        <v/>
      </c>
      <c r="W27" s="2943"/>
      <c r="X27" s="2943"/>
      <c r="Y27" s="2943"/>
      <c r="Z27" s="2943"/>
      <c r="AA27" s="2943"/>
      <c r="AB27" s="1018"/>
      <c r="AC27" s="2943" t="str">
        <f>IF(TITLE_NAME_OR_PR_CHANGE="",IF(TITLE_NAME_OR_PR="","",TITLE_NAME_OR_PR),TITLE_NAME_OR_PR_CHANGE)</f>
        <v/>
      </c>
      <c r="AD27" s="2943"/>
      <c r="AE27" s="2943"/>
      <c r="AF27" s="2943"/>
      <c r="AG27" s="2943"/>
      <c r="AH27" s="2943"/>
      <c r="AI27" s="1018"/>
      <c r="AJ27" s="1018"/>
      <c r="AK27" s="972"/>
      <c r="AL27" s="1060"/>
      <c r="AM27" s="1060"/>
      <c r="AN27" s="1060"/>
      <c r="AO27" s="1060"/>
      <c r="AP27" s="1060"/>
      <c r="AQ27" s="1110">
        <v>0</v>
      </c>
    </row>
    <row s="63055" customFormat="1" customHeight="1" ht="18.75" hidden="1">
      <c r="A28" s="2060"/>
      <c r="B28" s="2060"/>
      <c r="C28" s="2060"/>
      <c r="D28" s="2060"/>
      <c r="E28" s="2060"/>
      <c r="F28" s="2060"/>
      <c r="G28" s="2060"/>
      <c r="H28" s="2060"/>
      <c r="I28" s="2060"/>
      <c r="J28" s="2060"/>
      <c r="K28" s="2060"/>
      <c r="L28" s="2061"/>
      <c r="M28" s="2060"/>
      <c r="N28" s="2060"/>
      <c r="O28" s="2060"/>
      <c r="S28" s="2942" t="s">
        <v>495</v>
      </c>
      <c r="T28" s="2942"/>
      <c r="U28" s="2064"/>
      <c r="V28" s="2956" t="str">
        <f>IF(TITLE_DATE_PR_CHANGE="",IF(TITLE_DATE_PR="","",TITLE_DATE_PR),TITLE_DATE_PR_CHANGE)</f>
        <v>45981</v>
      </c>
      <c r="W28" s="2956"/>
      <c r="X28" s="2956"/>
      <c r="Y28" s="2956"/>
      <c r="Z28" s="2956"/>
      <c r="AA28" s="2956"/>
      <c r="AB28" s="1018"/>
      <c r="AC28" s="2956" t="str">
        <f>IF(TITLE_DATE_PR_CHANGE="",IF(TITLE_DATE_PR="","",TITLE_DATE_PR),TITLE_DATE_PR_CHANGE)</f>
        <v>45981</v>
      </c>
      <c r="AD28" s="2956"/>
      <c r="AE28" s="2956"/>
      <c r="AF28" s="2956"/>
      <c r="AG28" s="2956"/>
      <c r="AH28" s="2956"/>
      <c r="AI28" s="1018"/>
      <c r="AJ28" s="1018"/>
      <c r="AK28" s="972"/>
      <c r="AL28" s="1060"/>
      <c r="AM28" s="1060"/>
      <c r="AN28" s="1060"/>
      <c r="AO28" s="1060"/>
      <c r="AP28" s="1060"/>
      <c r="AQ28" s="1110">
        <v>0</v>
      </c>
    </row>
    <row s="63055" customFormat="1" customHeight="1" ht="18.75" hidden="1">
      <c r="A29" s="2060"/>
      <c r="B29" s="2060"/>
      <c r="C29" s="2060"/>
      <c r="D29" s="2060"/>
      <c r="E29" s="2060"/>
      <c r="F29" s="2060"/>
      <c r="G29" s="2060"/>
      <c r="H29" s="2060"/>
      <c r="I29" s="2060"/>
      <c r="J29" s="2060"/>
      <c r="K29" s="2060"/>
      <c r="L29" s="2061"/>
      <c r="M29" s="2060"/>
      <c r="N29" s="2060"/>
      <c r="O29" s="2060"/>
      <c r="S29" s="2942" t="s">
        <v>496</v>
      </c>
      <c r="T29" s="2942"/>
      <c r="U29" s="2064"/>
      <c r="V29" s="2943" t="str">
        <f>IF(TITLE_NUMBER_PR_CHANGE="",IF(TITLE_NUMBER_PR="","",TITLE_NUMBER_PR),TITLE_NUMBER_PR_CHANGE)</f>
        <v>Исх-260/1781</v>
      </c>
      <c r="W29" s="2943"/>
      <c r="X29" s="2943"/>
      <c r="Y29" s="2943"/>
      <c r="Z29" s="2943"/>
      <c r="AA29" s="2943"/>
      <c r="AB29" s="1018"/>
      <c r="AC29" s="2943" t="str">
        <f>IF(TITLE_NUMBER_PR_CHANGE="",IF(TITLE_NUMBER_PR="","",TITLE_NUMBER_PR),TITLE_NUMBER_PR_CHANGE)</f>
        <v>Исх-260/1781</v>
      </c>
      <c r="AD29" s="2943"/>
      <c r="AE29" s="2943"/>
      <c r="AF29" s="2943"/>
      <c r="AG29" s="2943"/>
      <c r="AH29" s="2943"/>
      <c r="AI29" s="1018"/>
      <c r="AJ29" s="1018"/>
      <c r="AK29" s="972"/>
      <c r="AL29" s="1060"/>
      <c r="AM29" s="1060"/>
      <c r="AN29" s="1060"/>
      <c r="AO29" s="1060"/>
      <c r="AP29" s="1060"/>
      <c r="AQ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43</v>
      </c>
      <c r="T30" s="2942"/>
      <c r="U30" s="2064"/>
      <c r="V30" s="2943" t="str">
        <f>IF(TITLE_IST_PUB_CHANGE="",IF(TITLE_IST_PUB="","",TITLE_IST_PUB),TITLE_IST_PUB_CHANGE)</f>
        <v/>
      </c>
      <c r="W30" s="2943"/>
      <c r="X30" s="2943"/>
      <c r="Y30" s="2943"/>
      <c r="Z30" s="2943"/>
      <c r="AA30" s="2943"/>
      <c r="AB30" s="1018"/>
      <c r="AC30" s="2943" t="str">
        <f>IF(TITLE_IST_PUB_CHANGE="",IF(TITLE_IST_PUB="","",TITLE_IST_PUB),TITLE_IST_PUB_CHANGE)</f>
        <v/>
      </c>
      <c r="AD30" s="2943"/>
      <c r="AE30" s="2943"/>
      <c r="AF30" s="2943"/>
      <c r="AG30" s="2943"/>
      <c r="AH30" s="2943"/>
      <c r="AI30" s="1018"/>
      <c r="AJ30" s="1018"/>
      <c r="AK30" s="972"/>
      <c r="AL30" s="1060"/>
      <c r="AM30" s="1060"/>
      <c r="AN30" s="1060"/>
      <c r="AO30" s="1060"/>
      <c r="AP30" s="1060"/>
      <c r="AQ30" s="1110">
        <v>0</v>
      </c>
    </row>
    <row customHeight="1" ht="14.25">
      <c r="Q31" s="1068"/>
      <c r="R31" s="1068"/>
      <c r="S31" s="1967"/>
      <c r="T31" s="1055"/>
      <c r="U31" s="1055"/>
      <c r="V31" s="1014"/>
      <c r="W31" s="1014"/>
      <c r="X31" s="1014"/>
      <c r="Y31" s="1014"/>
      <c r="Z31" s="1014"/>
      <c r="AA31" s="1014"/>
      <c r="AB31" s="1014"/>
      <c r="AC31" s="1014"/>
      <c r="AD31" s="1014"/>
      <c r="AE31" s="1014"/>
      <c r="AF31" s="1014"/>
      <c r="AG31" s="1014"/>
      <c r="AH31" s="1014"/>
      <c r="AI31" s="1014"/>
      <c r="AJ31" s="1201"/>
      <c r="AQ31" s="1847">
        <v>0</v>
      </c>
    </row>
    <row s="63055" customFormat="1" customHeight="1" ht="18.75">
      <c r="A32" s="2060"/>
      <c r="B32" s="2060"/>
      <c r="C32" s="2060"/>
      <c r="D32" s="2060"/>
      <c r="E32" s="2060"/>
      <c r="F32" s="2060"/>
      <c r="G32" s="2060"/>
      <c r="H32" s="2060"/>
      <c r="I32" s="2060"/>
      <c r="J32" s="2060"/>
      <c r="K32" s="2060"/>
      <c r="L32" s="2061"/>
      <c r="M32" s="2060"/>
      <c r="N32" s="2060"/>
      <c r="O32" s="2060"/>
      <c r="S32" s="2942" t="s">
        <v>497</v>
      </c>
      <c r="T32" s="2942"/>
      <c r="U32" s="2064"/>
      <c r="V32" s="2956" t="str">
        <f>IF(TITLE_DATE_PR_CHANGE="",IF(TITLE_DATE_PR="","",TITLE_DATE_PR),TITLE_DATE_PR_CHANGE)</f>
        <v>45981</v>
      </c>
      <c r="W32" s="2956"/>
      <c r="X32" s="2956"/>
      <c r="Y32" s="2956"/>
      <c r="Z32" s="2956"/>
      <c r="AA32" s="2956"/>
      <c r="AB32" s="1018"/>
      <c r="AC32" s="2956" t="str">
        <f>IF(TITLE_DATE_PR_CHANGE="",IF(TITLE_DATE_PR="","",TITLE_DATE_PR),TITLE_DATE_PR_CHANGE)</f>
        <v>45981</v>
      </c>
      <c r="AD32" s="2956"/>
      <c r="AE32" s="2956"/>
      <c r="AF32" s="2956"/>
      <c r="AG32" s="2956"/>
      <c r="AH32" s="2956"/>
      <c r="AI32" s="1018"/>
      <c r="AJ32" s="1018"/>
      <c r="AK32" s="972"/>
      <c r="AL32" s="1060"/>
      <c r="AM32" s="1060"/>
      <c r="AN32" s="1060"/>
      <c r="AO32" s="1060"/>
      <c r="AP32" s="1060"/>
      <c r="AQ32" s="1110">
        <v>0</v>
      </c>
    </row>
    <row s="63055" customFormat="1" customHeight="1" ht="18.75">
      <c r="A33" s="2060"/>
      <c r="B33" s="2060"/>
      <c r="C33" s="2060"/>
      <c r="D33" s="2060"/>
      <c r="E33" s="2060"/>
      <c r="F33" s="2060"/>
      <c r="G33" s="2060"/>
      <c r="H33" s="2060"/>
      <c r="I33" s="2060"/>
      <c r="J33" s="2060"/>
      <c r="K33" s="2060"/>
      <c r="L33" s="2061"/>
      <c r="M33" s="2060"/>
      <c r="N33" s="2060"/>
      <c r="O33" s="2060"/>
      <c r="S33" s="2942" t="s">
        <v>498</v>
      </c>
      <c r="T33" s="2942"/>
      <c r="U33" s="2064"/>
      <c r="V33" s="2943" t="str">
        <f>IF(TITLE_NUMBER_PR_CHANGE="",IF(TITLE_NUMBER_PR="","",TITLE_NUMBER_PR),TITLE_NUMBER_PR_CHANGE)</f>
        <v>Исх-260/1781</v>
      </c>
      <c r="W33" s="2943"/>
      <c r="X33" s="2943"/>
      <c r="Y33" s="2943"/>
      <c r="Z33" s="2943"/>
      <c r="AA33" s="2943"/>
      <c r="AB33" s="1018"/>
      <c r="AC33" s="2943" t="str">
        <f>IF(TITLE_NUMBER_PR_CHANGE="",IF(TITLE_NUMBER_PR="","",TITLE_NUMBER_PR),TITLE_NUMBER_PR_CHANGE)</f>
        <v>Исх-260/1781</v>
      </c>
      <c r="AD33" s="2943"/>
      <c r="AE33" s="2943"/>
      <c r="AF33" s="2943"/>
      <c r="AG33" s="2943"/>
      <c r="AH33" s="2943"/>
      <c r="AI33" s="1018"/>
      <c r="AJ33" s="1018"/>
      <c r="AK33" s="972"/>
      <c r="AL33" s="1060"/>
      <c r="AM33" s="1060"/>
      <c r="AN33" s="1060"/>
      <c r="AO33" s="1060"/>
      <c r="AP33" s="1060"/>
      <c r="AQ33" s="1110">
        <v>0</v>
      </c>
    </row>
    <row s="63055" customFormat="1" customHeight="1" ht="1.05">
      <c r="A34" s="2060"/>
      <c r="B34" s="2060"/>
      <c r="C34" s="2060"/>
      <c r="D34" s="2060"/>
      <c r="E34" s="2060"/>
      <c r="F34" s="2060"/>
      <c r="G34" s="2060"/>
      <c r="H34" s="2060"/>
      <c r="I34" s="2060"/>
      <c r="J34" s="2060"/>
      <c r="K34" s="2060"/>
      <c r="L34" s="2061"/>
      <c r="M34" s="2060"/>
      <c r="N34" s="2060"/>
      <c r="O34" s="2060"/>
      <c r="S34" s="1015"/>
      <c r="T34" s="1015"/>
      <c r="U34" s="2146"/>
      <c r="V34" s="1018"/>
      <c r="W34" s="1018"/>
      <c r="X34" s="1018"/>
      <c r="Y34" s="1018"/>
      <c r="Z34" s="1018"/>
      <c r="AA34" s="1018"/>
      <c r="AB34" s="970" t="s">
        <v>499</v>
      </c>
      <c r="AC34" s="1018"/>
      <c r="AD34" s="1018"/>
      <c r="AE34" s="1018"/>
      <c r="AF34" s="1018"/>
      <c r="AG34" s="1018"/>
      <c r="AH34" s="1018"/>
      <c r="AI34" s="970" t="s">
        <v>499</v>
      </c>
      <c r="AL34" s="1060"/>
      <c r="AM34" s="1060"/>
      <c r="AN34" s="1060"/>
      <c r="AO34" s="1060"/>
      <c r="AP34" s="1060"/>
      <c r="AQ34" s="1110">
        <v>1</v>
      </c>
    </row>
    <row customHeight="1" ht="14.699999999999998">
      <c r="Q35" s="1068"/>
      <c r="R35" s="1068"/>
      <c r="S35" s="1967"/>
      <c r="T35" s="1055"/>
      <c r="U35" s="1936"/>
      <c r="V35" s="2944"/>
      <c r="W35" s="2944"/>
      <c r="X35" s="2944"/>
      <c r="Y35" s="2944"/>
      <c r="Z35" s="2944"/>
      <c r="AA35" s="2944"/>
      <c r="AB35" s="2944"/>
      <c r="AC35" s="2944"/>
      <c r="AD35" s="2944"/>
      <c r="AE35" s="2944"/>
      <c r="AF35" s="2944"/>
      <c r="AG35" s="2944"/>
      <c r="AH35" s="2944"/>
      <c r="AI35" s="2944"/>
      <c r="AQ35" s="1847">
        <v>14</v>
      </c>
    </row>
    <row customHeight="1" ht="14.699999999999998">
      <c r="Q36" s="1068"/>
      <c r="R36" s="1068"/>
      <c r="S36" s="2819" t="s">
        <v>375</v>
      </c>
      <c r="T36" s="2819"/>
      <c r="U36" s="2819"/>
      <c r="V36" s="2819"/>
      <c r="W36" s="2819"/>
      <c r="X36" s="2819"/>
      <c r="Y36" s="2819"/>
      <c r="Z36" s="2819"/>
      <c r="AA36" s="2819"/>
      <c r="AB36" s="2819"/>
      <c r="AC36" s="2819"/>
      <c r="AD36" s="2819"/>
      <c r="AE36" s="2819"/>
      <c r="AF36" s="2819"/>
      <c r="AG36" s="2819"/>
      <c r="AH36" s="2819"/>
      <c r="AI36" s="2819"/>
      <c r="AJ36" s="2819"/>
      <c r="AK36" s="2819" t="s">
        <v>376</v>
      </c>
      <c r="AQ36" s="1847">
        <v>14</v>
      </c>
    </row>
    <row customHeight="1" ht="14.699999999999998">
      <c r="Q37" s="1068"/>
      <c r="R37" s="1068"/>
      <c r="S37" s="2965" t="s">
        <v>89</v>
      </c>
      <c r="T37" s="2901" t="s">
        <v>500</v>
      </c>
      <c r="U37" s="993"/>
      <c r="V37" s="2966" t="s">
        <v>501</v>
      </c>
      <c r="W37" s="2967"/>
      <c r="X37" s="2967"/>
      <c r="Y37" s="2967"/>
      <c r="Z37" s="2967"/>
      <c r="AA37" s="2968"/>
      <c r="AB37" s="2969" t="s">
        <v>502</v>
      </c>
      <c r="AC37" s="2966" t="s">
        <v>501</v>
      </c>
      <c r="AD37" s="2967"/>
      <c r="AE37" s="2967"/>
      <c r="AF37" s="2967"/>
      <c r="AG37" s="2967"/>
      <c r="AH37" s="2968"/>
      <c r="AI37" s="2969" t="s">
        <v>503</v>
      </c>
      <c r="AJ37" s="2972" t="s">
        <v>504</v>
      </c>
      <c r="AK37" s="2819"/>
      <c r="AQ37" s="1847">
        <v>14</v>
      </c>
    </row>
    <row customHeight="1" ht="35.699999999999996">
      <c r="Q38" s="1068"/>
      <c r="R38" s="1068"/>
      <c r="S38" s="2965"/>
      <c r="T38" s="2901"/>
      <c r="U38" s="1723"/>
      <c r="V38" s="2144" t="s">
        <v>563</v>
      </c>
      <c r="W38" s="2954" t="s">
        <v>507</v>
      </c>
      <c r="X38" s="2955"/>
      <c r="Y38" s="2954" t="s">
        <v>508</v>
      </c>
      <c r="Z38" s="2961"/>
      <c r="AA38" s="2955"/>
      <c r="AB38" s="2970"/>
      <c r="AC38" s="2144" t="s">
        <v>563</v>
      </c>
      <c r="AD38" s="2954" t="s">
        <v>507</v>
      </c>
      <c r="AE38" s="2955"/>
      <c r="AF38" s="2954" t="s">
        <v>508</v>
      </c>
      <c r="AG38" s="2961"/>
      <c r="AH38" s="2955"/>
      <c r="AI38" s="2970"/>
      <c r="AJ38" s="2973"/>
      <c r="AK38" s="2819"/>
      <c r="AQ38" s="1847">
        <v>34</v>
      </c>
    </row>
    <row customHeight="1" ht="35.699999999999996">
      <c r="A39" s="2062"/>
      <c r="B39" s="2062" t="s">
        <v>143</v>
      </c>
      <c r="C39" s="2062" t="s">
        <v>144</v>
      </c>
      <c r="D39" s="2062" t="s">
        <v>145</v>
      </c>
      <c r="E39" s="2056" t="s">
        <v>509</v>
      </c>
      <c r="F39" s="2056" t="s">
        <v>510</v>
      </c>
      <c r="G39" s="2056" t="s">
        <v>511</v>
      </c>
      <c r="H39" s="2056"/>
      <c r="I39" s="2056" t="s">
        <v>564</v>
      </c>
      <c r="J39" s="2056" t="s">
        <v>514</v>
      </c>
      <c r="K39" s="2056" t="s">
        <v>565</v>
      </c>
      <c r="L39" s="2056" t="s">
        <v>490</v>
      </c>
      <c r="Q39" s="1068"/>
      <c r="R39" s="1068"/>
      <c r="S39" s="2965"/>
      <c r="T39" s="2901"/>
      <c r="U39" s="994"/>
      <c r="V39" s="2144" t="s">
        <v>566</v>
      </c>
      <c r="W39" s="1914" t="s">
        <v>567</v>
      </c>
      <c r="X39" s="1914" t="s">
        <v>568</v>
      </c>
      <c r="Y39" s="2147" t="s">
        <v>518</v>
      </c>
      <c r="Z39" s="2962" t="s">
        <v>519</v>
      </c>
      <c r="AA39" s="2963"/>
      <c r="AB39" s="2971"/>
      <c r="AC39" s="2144" t="s">
        <v>566</v>
      </c>
      <c r="AD39" s="1914" t="s">
        <v>567</v>
      </c>
      <c r="AE39" s="1914" t="s">
        <v>568</v>
      </c>
      <c r="AF39" s="2147" t="s">
        <v>518</v>
      </c>
      <c r="AG39" s="2962" t="s">
        <v>519</v>
      </c>
      <c r="AH39" s="2963"/>
      <c r="AI39" s="2971"/>
      <c r="AJ39" s="2974"/>
      <c r="AK39" s="2819"/>
      <c r="AQ39" s="1847">
        <v>34</v>
      </c>
    </row>
    <row s="61193" customFormat="1" customHeight="1" ht="0">
      <c r="A40" s="2062"/>
      <c r="B40" s="2062"/>
      <c r="C40" s="2062"/>
      <c r="D40" s="2062"/>
      <c r="E40" s="2062"/>
      <c r="F40" s="2062"/>
      <c r="G40" s="2062"/>
      <c r="H40" s="2062"/>
      <c r="I40" s="2062"/>
      <c r="J40" s="2062"/>
      <c r="K40" s="2062"/>
      <c r="L40" s="2056"/>
      <c r="M40" s="2054"/>
      <c r="N40" s="2054"/>
      <c r="O40" s="2054"/>
      <c r="P40" s="1938"/>
      <c r="Q40" s="1939"/>
      <c r="R40" s="1946">
        <v>1</v>
      </c>
      <c r="S40" s="1969" t="s">
        <v>118</v>
      </c>
      <c r="T40" s="1947" t="s">
        <v>103</v>
      </c>
      <c r="U40" s="1937" t="str">
        <f>OFFSET(U40,0,-1)</f>
        <v>2</v>
      </c>
      <c r="V40" s="2143">
        <f>OFFSET(V40,0,-1)+1</f>
        <v>3</v>
      </c>
      <c r="W40" s="2143">
        <f>OFFSET(W40,0,-1)+1</f>
        <v>4</v>
      </c>
      <c r="X40" s="2143">
        <f>OFFSET(X40,0,-1)+1</f>
        <v>5</v>
      </c>
      <c r="Y40" s="2143">
        <f>OFFSET(Y40,0,-1)+1</f>
        <v>6</v>
      </c>
      <c r="Z40" s="2964">
        <f>OFFSET(Z40,0,-1)+1</f>
        <v>7</v>
      </c>
      <c r="AA40" s="2964"/>
      <c r="AB40" s="2143">
        <f>OFFSET(AB40,0,-2)+1</f>
        <v>8</v>
      </c>
      <c r="AC40" s="2143">
        <f>OFFSET(AC40,0,-1)+1</f>
        <v>9</v>
      </c>
      <c r="AD40" s="2143">
        <f>OFFSET(AD40,0,-1)+1</f>
        <v>10</v>
      </c>
      <c r="AE40" s="2143">
        <f>OFFSET(AE40,0,-1)+1</f>
        <v>11</v>
      </c>
      <c r="AF40" s="2143">
        <f>OFFSET(AF40,0,-1)+1</f>
        <v>12</v>
      </c>
      <c r="AG40" s="2964">
        <f>OFFSET(AG40,0,-1)+1</f>
        <v>13</v>
      </c>
      <c r="AH40" s="2964"/>
      <c r="AI40" s="2143">
        <f>OFFSET(AI40,0,-2)+1</f>
        <v>14</v>
      </c>
      <c r="AJ40" s="1937">
        <f>OFFSET(AJ40,0,-1)</f>
        <v>14</v>
      </c>
      <c r="AK40" s="2143">
        <f>OFFSET(AK40,0,-1)+1</f>
        <v>15</v>
      </c>
      <c r="AL40" s="1203"/>
      <c r="AM40" s="1203"/>
      <c r="AN40" s="1203"/>
      <c r="AO40" s="1203"/>
      <c r="AP40" s="1203"/>
      <c r="AQ40" s="1188">
        <v>0</v>
      </c>
    </row>
    <row customHeight="1" ht="24">
      <c r="A41" s="2055" t="s">
        <v>311</v>
      </c>
      <c r="B41" s="2055"/>
      <c r="C41" s="2055"/>
      <c r="D41" s="2055"/>
      <c r="E41" s="2950">
        <v>1</v>
      </c>
      <c r="F41" s="2055"/>
      <c r="G41" s="2055"/>
      <c r="H41" s="2055"/>
      <c r="I41" s="2055"/>
      <c r="J41" s="2055"/>
      <c r="K41" s="2055"/>
      <c r="L41" s="2056"/>
      <c r="M41" s="2057"/>
      <c r="N41" s="2057"/>
      <c r="O41" s="2057"/>
      <c r="P41" s="1053"/>
      <c r="Q41" s="1052"/>
      <c r="R41" s="1047"/>
      <c r="S41" s="2149">
        <f>INDEX(PT_DIFFERENTIATION_NUM_NTAR,MATCH(A41,PT_DIFFERENTIATION_NTAR_ID,0))</f>
        <v>0</v>
      </c>
      <c r="T41" s="990" t="s">
        <v>131</v>
      </c>
      <c r="U41" s="992"/>
      <c r="V41" s="2934"/>
      <c r="W41" s="2935"/>
      <c r="X41" s="2935"/>
      <c r="Y41" s="2935"/>
      <c r="Z41" s="2935"/>
      <c r="AA41" s="2935"/>
      <c r="AB41" s="2936"/>
      <c r="AC41" s="2934" t="str">
        <f>INDEX(PT_DIFFERENTIATION_NTAR,MATCH(A41,PT_DIFFERENTIATION_NTAR_ID,0))</f>
        <v/>
      </c>
      <c r="AD41" s="2935"/>
      <c r="AE41" s="2935"/>
      <c r="AF41" s="2935"/>
      <c r="AG41" s="2935"/>
      <c r="AH41" s="2935"/>
      <c r="AI41" s="2935"/>
      <c r="AJ41" s="2936"/>
      <c r="AK41"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92"/>
      <c r="AN41" s="1192" t="str">
        <f>IF(T41="","",T41)</f>
        <v>Наименование тарифа</v>
      </c>
      <c r="AO41" s="1192"/>
      <c r="AP41" s="1192"/>
      <c r="AQ41" s="1847">
        <v>23</v>
      </c>
    </row>
    <row customHeight="1" ht="24">
      <c r="A42" s="2055" t="s">
        <v>311</v>
      </c>
      <c r="B42" s="2055" t="s">
        <v>312</v>
      </c>
      <c r="C42" s="2055"/>
      <c r="D42" s="2055"/>
      <c r="E42" s="2951"/>
      <c r="F42" s="2950">
        <v>1</v>
      </c>
      <c r="G42" s="2055"/>
      <c r="H42" s="2055"/>
      <c r="I42" s="2055"/>
      <c r="J42" s="2055"/>
      <c r="K42" s="2055"/>
      <c r="L42" s="2056"/>
      <c r="M42" s="2057"/>
      <c r="N42" s="2057"/>
      <c r="O42" s="2057"/>
      <c r="P42" s="2145"/>
      <c r="Q42" s="1044"/>
      <c r="R42" s="1045"/>
      <c r="S42" s="2149" t="str">
        <f>INDEX(PT_DIFFERENTIATION_NUM_TER,MATCH(B42,PT_DIFFERENTIATION_TER_ID,0))</f>
        <v>.</v>
      </c>
      <c r="T42" s="1000" t="s">
        <v>472</v>
      </c>
      <c r="U42" s="992"/>
      <c r="V42" s="2934"/>
      <c r="W42" s="2935"/>
      <c r="X42" s="2935"/>
      <c r="Y42" s="2935"/>
      <c r="Z42" s="2935"/>
      <c r="AA42" s="2935"/>
      <c r="AB42" s="2936"/>
      <c r="AC42" s="2934" t="str">
        <f>INDEX(PT_DIFFERENTIATION_TER,MATCH(B42,PT_DIFFERENTIATION_TER_ID,0))</f>
        <v/>
      </c>
      <c r="AD42" s="2935"/>
      <c r="AE42" s="2935"/>
      <c r="AF42" s="2935"/>
      <c r="AG42" s="2935"/>
      <c r="AH42" s="2935"/>
      <c r="AI42" s="2935"/>
      <c r="AJ42" s="2936"/>
      <c r="AK42" s="1950" t="s">
        <v>473</v>
      </c>
      <c r="AM42" s="1192"/>
      <c r="AN42" s="1192" t="str">
        <f>IF(T42="","",T42)</f>
        <v>Территория действия тарифа</v>
      </c>
      <c r="AO42" s="1192"/>
      <c r="AP42" s="1192"/>
      <c r="AQ42" s="1847">
        <v>23</v>
      </c>
    </row>
    <row customHeight="1" ht="24">
      <c r="A43" s="2055" t="s">
        <v>311</v>
      </c>
      <c r="B43" s="2055" t="s">
        <v>312</v>
      </c>
      <c r="C43" s="2055" t="s">
        <v>313</v>
      </c>
      <c r="D43" s="2055"/>
      <c r="E43" s="2951"/>
      <c r="F43" s="2951"/>
      <c r="G43" s="2950">
        <v>1</v>
      </c>
      <c r="H43" s="2055"/>
      <c r="I43" s="2055"/>
      <c r="J43" s="2055"/>
      <c r="K43" s="2055"/>
      <c r="L43" s="2056"/>
      <c r="M43" s="2057"/>
      <c r="N43" s="2057"/>
      <c r="O43" s="2057"/>
      <c r="P43" s="1046"/>
      <c r="Q43" s="1044"/>
      <c r="R43" s="1045"/>
      <c r="S43" s="2149" t="str">
        <f>INDEX(PT_DIFFERENTIATION_NUM_CS,MATCH(C43,PT_DIFFERENTIATION_CS_ID,0))</f>
        <v>..</v>
      </c>
      <c r="T43" s="1001" t="s">
        <v>555</v>
      </c>
      <c r="U43" s="992"/>
      <c r="V43" s="2934"/>
      <c r="W43" s="2935"/>
      <c r="X43" s="2935"/>
      <c r="Y43" s="2935"/>
      <c r="Z43" s="2935"/>
      <c r="AA43" s="2935"/>
      <c r="AB43" s="2936"/>
      <c r="AC43" s="2934" t="str">
        <f>INDEX(PT_DIFFERENTIATION_CS,MATCH(C43,PT_DIFFERENTIATION_CS_ID,0))</f>
        <v/>
      </c>
      <c r="AD43" s="2935"/>
      <c r="AE43" s="2935"/>
      <c r="AF43" s="2935"/>
      <c r="AG43" s="2935"/>
      <c r="AH43" s="2935"/>
      <c r="AI43" s="2935"/>
      <c r="AJ43" s="2936"/>
      <c r="AK43" s="1950" t="s">
        <v>556</v>
      </c>
      <c r="AM43" s="1192"/>
      <c r="AN43" s="1192" t="str">
        <f>IF(T43="","",T43)</f>
        <v>Наименование централизованной системы холодного водоснабжения</v>
      </c>
      <c r="AO43" s="1192"/>
      <c r="AP43" s="1192"/>
      <c r="AQ43" s="1847">
        <v>23</v>
      </c>
    </row>
    <row customHeight="1" ht="24">
      <c r="A44" s="2055" t="s">
        <v>311</v>
      </c>
      <c r="B44" s="2055" t="s">
        <v>312</v>
      </c>
      <c r="C44" s="2055" t="s">
        <v>313</v>
      </c>
      <c r="D44" s="2055" t="s">
        <v>571</v>
      </c>
      <c r="E44" s="2951"/>
      <c r="F44" s="2951"/>
      <c r="G44" s="2951"/>
      <c r="H44" s="2951"/>
      <c r="I44" s="2948" t="str">
        <f>S43&amp;".1"</f>
        <v>...1</v>
      </c>
      <c r="J44" s="2055"/>
      <c r="K44" s="2055"/>
      <c r="L44" s="2056"/>
      <c r="P44" s="2949">
        <v>1</v>
      </c>
      <c r="Q44" s="2142"/>
      <c r="R44" s="1048"/>
      <c r="S44" s="2149" t="str">
        <f>$I44</f>
        <v>...1</v>
      </c>
      <c r="T44" s="977" t="s">
        <v>557</v>
      </c>
      <c r="U44" s="992"/>
      <c r="V44" s="3042"/>
      <c r="W44" s="3043"/>
      <c r="X44" s="3043"/>
      <c r="Y44" s="3043"/>
      <c r="Z44" s="3043"/>
      <c r="AA44" s="3043"/>
      <c r="AB44" s="3044"/>
      <c r="AC44" s="3045"/>
      <c r="AD44" s="3046"/>
      <c r="AE44" s="3046"/>
      <c r="AF44" s="3046"/>
      <c r="AG44" s="3046"/>
      <c r="AH44" s="3046"/>
      <c r="AI44" s="3046"/>
      <c r="AJ44" s="3047"/>
      <c r="AK44" s="1950" t="s">
        <v>558</v>
      </c>
      <c r="AM44" s="1192"/>
      <c r="AN44" s="1192" t="str">
        <f>IF(T44="","",T44)</f>
        <v>Наименование признака дифференциации</v>
      </c>
      <c r="AO44" s="1192"/>
      <c r="AP44" s="1192"/>
      <c r="AQ44" s="1847">
        <v>23</v>
      </c>
    </row>
    <row customHeight="1" ht="24">
      <c r="A45" s="2055" t="s">
        <v>311</v>
      </c>
      <c r="B45" s="2055" t="s">
        <v>312</v>
      </c>
      <c r="C45" s="2055" t="s">
        <v>313</v>
      </c>
      <c r="D45" s="2055" t="s">
        <v>571</v>
      </c>
      <c r="E45" s="2951"/>
      <c r="F45" s="2951"/>
      <c r="G45" s="2951"/>
      <c r="H45" s="2951"/>
      <c r="I45" s="2978"/>
      <c r="J45" s="2948" t="str">
        <f>I44&amp;".1"</f>
        <v>...1.1</v>
      </c>
      <c r="K45" s="2055"/>
      <c r="L45" s="2056" t="s">
        <v>481</v>
      </c>
      <c r="P45" s="2949"/>
      <c r="Q45" s="2949">
        <v>1</v>
      </c>
      <c r="R45" s="1049"/>
      <c r="S45" s="2149" t="str">
        <f>$J45</f>
        <v>...1.1</v>
      </c>
      <c r="T45" s="978" t="s">
        <v>482</v>
      </c>
      <c r="U45" s="992"/>
      <c r="V45" s="2937"/>
      <c r="W45" s="2938"/>
      <c r="X45" s="2938"/>
      <c r="Y45" s="2938"/>
      <c r="Z45" s="2938"/>
      <c r="AA45" s="2938"/>
      <c r="AB45" s="2939"/>
      <c r="AC45" s="2937"/>
      <c r="AD45" s="2938"/>
      <c r="AE45" s="2938"/>
      <c r="AF45" s="2938"/>
      <c r="AG45" s="2938"/>
      <c r="AH45" s="2938"/>
      <c r="AI45" s="2938"/>
      <c r="AJ45" s="2939"/>
      <c r="AK45" s="1999" t="s">
        <v>559</v>
      </c>
      <c r="AM45" s="1192"/>
      <c r="AN45" s="1192" t="str">
        <f>IF(T45="","",T45)</f>
        <v>Группа потребителей</v>
      </c>
      <c r="AO45" s="1192"/>
      <c r="AP45" s="1192"/>
      <c r="AQ45" s="1847">
        <v>23</v>
      </c>
    </row>
    <row customHeight="1" ht="24">
      <c r="A46" s="2055" t="s">
        <v>311</v>
      </c>
      <c r="B46" s="2055" t="s">
        <v>312</v>
      </c>
      <c r="C46" s="2055" t="s">
        <v>313</v>
      </c>
      <c r="D46" s="2055" t="s">
        <v>571</v>
      </c>
      <c r="E46" s="2951"/>
      <c r="F46" s="2951"/>
      <c r="G46" s="2951"/>
      <c r="H46" s="2951"/>
      <c r="I46" s="2978"/>
      <c r="J46" s="2978"/>
      <c r="K46" s="2948" t="str">
        <f>J45&amp;".1"</f>
        <v>...1.1.1</v>
      </c>
      <c r="L46" s="2056"/>
      <c r="P46" s="2949"/>
      <c r="Q46" s="2949"/>
      <c r="R46" s="1049">
        <v>1</v>
      </c>
      <c r="S46" s="2149" t="str">
        <f>$K46</f>
        <v>...1.1.1</v>
      </c>
      <c r="T46" s="2129"/>
      <c r="U46" s="992"/>
      <c r="V46" s="1443"/>
      <c r="W46" s="1443"/>
      <c r="X46" s="1949"/>
      <c r="Y46" s="2957"/>
      <c r="Z46" s="2799" t="s">
        <v>67</v>
      </c>
      <c r="AA46" s="2957"/>
      <c r="AB46" s="2799" t="s">
        <v>67</v>
      </c>
      <c r="AC46" s="1443"/>
      <c r="AD46" s="1443"/>
      <c r="AE46" s="1949"/>
      <c r="AF46" s="2957"/>
      <c r="AG46" s="2799" t="s">
        <v>67</v>
      </c>
      <c r="AH46" s="2979"/>
      <c r="AI46" s="2799" t="s">
        <v>67</v>
      </c>
      <c r="AJ46" s="2130"/>
      <c r="AK46"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03">
        <f>STRCHECKDATE(V47:AJ47)</f>
      </c>
      <c r="AM46" s="1192"/>
      <c r="AN46" s="1192" t="str">
        <f>IF(T46="","",T46)</f>
        <v/>
      </c>
      <c r="AO46" s="1192"/>
      <c r="AP46" s="1192"/>
      <c r="AQ46" s="1847">
        <v>23</v>
      </c>
    </row>
    <row customHeight="1" ht="0">
      <c r="A47" s="2055" t="s">
        <v>311</v>
      </c>
      <c r="B47" s="2055" t="s">
        <v>312</v>
      </c>
      <c r="C47" s="2055" t="s">
        <v>313</v>
      </c>
      <c r="D47" s="2055" t="s">
        <v>571</v>
      </c>
      <c r="E47" s="2951"/>
      <c r="F47" s="2951"/>
      <c r="G47" s="2951"/>
      <c r="H47" s="2951"/>
      <c r="I47" s="2978"/>
      <c r="J47" s="2978"/>
      <c r="K47" s="2948"/>
      <c r="L47" s="2056"/>
      <c r="P47" s="2949"/>
      <c r="Q47" s="2949"/>
      <c r="R47" s="1049"/>
      <c r="S47" s="2148"/>
      <c r="T47" s="992"/>
      <c r="U47" s="992"/>
      <c r="V47" s="1017"/>
      <c r="W47" s="1017"/>
      <c r="X47" s="1020" t="str">
        <f>Y46&amp;"-"&amp;AA46</f>
        <v>-</v>
      </c>
      <c r="Y47" s="2958"/>
      <c r="Z47" s="2799"/>
      <c r="AA47" s="2958"/>
      <c r="AB47" s="2799"/>
      <c r="AC47" s="1017"/>
      <c r="AD47" s="1017"/>
      <c r="AE47" s="1020" t="str">
        <f>AF46&amp;"-"&amp;AH46</f>
        <v>-</v>
      </c>
      <c r="AF47" s="2958"/>
      <c r="AG47" s="2799"/>
      <c r="AH47" s="2980"/>
      <c r="AI47" s="2799"/>
      <c r="AJ47" s="2131"/>
      <c r="AK47" s="3041"/>
      <c r="AM47" s="1192"/>
      <c r="AN47" s="1192" t="str">
        <f>IF(T47="","",T47)</f>
        <v/>
      </c>
      <c r="AO47" s="1192"/>
      <c r="AP47" s="1192"/>
      <c r="AQ47" s="1847">
        <v>0</v>
      </c>
    </row>
    <row customHeight="1" ht="21">
      <c r="A48" s="2055" t="s">
        <v>311</v>
      </c>
      <c r="B48" s="2055" t="s">
        <v>312</v>
      </c>
      <c r="C48" s="2055" t="s">
        <v>313</v>
      </c>
      <c r="D48" s="2055" t="s">
        <v>571</v>
      </c>
      <c r="E48" s="2951"/>
      <c r="F48" s="2951"/>
      <c r="G48" s="2951"/>
      <c r="H48" s="2951"/>
      <c r="I48" s="2978"/>
      <c r="J48" s="2948"/>
      <c r="K48" s="2055"/>
      <c r="L48" s="2056"/>
      <c r="P48" s="2949"/>
      <c r="Q48" s="2949"/>
      <c r="R48" s="1048"/>
      <c r="S48" s="1970"/>
      <c r="T48" s="979" t="s">
        <v>560</v>
      </c>
      <c r="U48" s="1059"/>
      <c r="V48" s="1059"/>
      <c r="W48" s="1059"/>
      <c r="X48" s="1059"/>
      <c r="Y48" s="1059"/>
      <c r="Z48" s="1059"/>
      <c r="AA48" s="1059"/>
      <c r="AB48" s="1059"/>
      <c r="AC48" s="1059"/>
      <c r="AD48" s="1059"/>
      <c r="AE48" s="1059"/>
      <c r="AF48" s="1059"/>
      <c r="AG48" s="1059"/>
      <c r="AH48" s="1059"/>
      <c r="AI48" s="1059"/>
      <c r="AJ48" s="1059"/>
      <c r="AK48" s="1950" t="s">
        <v>561</v>
      </c>
      <c r="AM48" s="1192"/>
      <c r="AN48" s="1192" t="str">
        <f>IF(T48="","",T48)</f>
        <v>Добавить значение признака дифференциации</v>
      </c>
      <c r="AO48" s="1192"/>
      <c r="AP48" s="1192"/>
      <c r="AQ48" s="1847">
        <v>20</v>
      </c>
    </row>
    <row customHeight="1" ht="22.049999999999997">
      <c r="A49" s="2055" t="s">
        <v>311</v>
      </c>
      <c r="B49" s="2055" t="s">
        <v>312</v>
      </c>
      <c r="C49" s="2055" t="s">
        <v>313</v>
      </c>
      <c r="D49" s="2055" t="s">
        <v>571</v>
      </c>
      <c r="E49" s="2951"/>
      <c r="F49" s="2951"/>
      <c r="G49" s="2951"/>
      <c r="H49" s="2951"/>
      <c r="I49" s="2948"/>
      <c r="J49" s="2055"/>
      <c r="K49" s="2055"/>
      <c r="L49" s="2056"/>
      <c r="P49" s="2949"/>
      <c r="Q49" s="2142"/>
      <c r="R49" s="1048"/>
      <c r="S49" s="1970"/>
      <c r="T49" s="1057" t="s">
        <v>487</v>
      </c>
      <c r="U49" s="1059"/>
      <c r="V49" s="1059"/>
      <c r="W49" s="1059"/>
      <c r="X49" s="1059"/>
      <c r="Y49" s="1059"/>
      <c r="Z49" s="1059"/>
      <c r="AA49" s="1059"/>
      <c r="AB49" s="1058"/>
      <c r="AC49" s="1059"/>
      <c r="AD49" s="1059"/>
      <c r="AE49" s="1059"/>
      <c r="AF49" s="1059"/>
      <c r="AG49" s="1059"/>
      <c r="AH49" s="1059"/>
      <c r="AI49" s="1058"/>
      <c r="AJ49" s="1059"/>
      <c r="AK49" s="2132"/>
      <c r="AM49" s="1192"/>
      <c r="AN49" s="1192" t="str">
        <f>IF(T49="","",T49)</f>
        <v>Добавить группу потребителей</v>
      </c>
      <c r="AO49" s="1192"/>
      <c r="AP49" s="1192"/>
      <c r="AQ49" s="1847">
        <v>21</v>
      </c>
    </row>
    <row customHeight="1" ht="22.049999999999997">
      <c r="A50" s="2055" t="s">
        <v>311</v>
      </c>
      <c r="B50" s="2055" t="s">
        <v>312</v>
      </c>
      <c r="C50" s="2055" t="s">
        <v>313</v>
      </c>
      <c r="D50" s="2055" t="s">
        <v>571</v>
      </c>
      <c r="E50" s="2951"/>
      <c r="F50" s="2951"/>
      <c r="G50" s="2951"/>
      <c r="H50" s="2950"/>
      <c r="I50" s="2055"/>
      <c r="J50" s="2055"/>
      <c r="K50" s="2055"/>
      <c r="L50" s="2056"/>
      <c r="M50" s="2057"/>
      <c r="N50" s="2057"/>
      <c r="O50" s="1229"/>
      <c r="P50" s="1052"/>
      <c r="Q50" s="1067"/>
      <c r="R50" s="1047"/>
      <c r="S50" s="1970"/>
      <c r="T50" s="1064" t="s">
        <v>562</v>
      </c>
      <c r="U50" s="1059"/>
      <c r="V50" s="1059"/>
      <c r="W50" s="1059"/>
      <c r="X50" s="1059"/>
      <c r="Y50" s="1059"/>
      <c r="Z50" s="1059"/>
      <c r="AA50" s="1059"/>
      <c r="AB50" s="1058"/>
      <c r="AC50" s="1059"/>
      <c r="AD50" s="1059"/>
      <c r="AE50" s="1059"/>
      <c r="AF50" s="1059"/>
      <c r="AG50" s="1059"/>
      <c r="AH50" s="1059"/>
      <c r="AI50" s="1058"/>
      <c r="AJ50" s="1059"/>
      <c r="AK50" s="995"/>
      <c r="AM50" s="1192"/>
      <c r="AN50" s="1192" t="str">
        <f>IF(T50="","",T50)</f>
        <v>Добавить наименование признака дифференциации</v>
      </c>
      <c r="AO50" s="1192"/>
      <c r="AP50" s="1192"/>
      <c r="AQ50" s="1847">
        <v>21</v>
      </c>
    </row>
    <row s="61695" customFormat="1" customHeight="1" ht="0">
      <c r="A51" s="2035" t="s">
        <v>311</v>
      </c>
      <c r="B51" s="2035" t="s">
        <v>312</v>
      </c>
      <c r="C51" s="2006"/>
      <c r="D51" s="2006"/>
      <c r="E51" s="2951"/>
      <c r="F51" s="2950"/>
      <c r="G51" s="2006"/>
      <c r="H51" s="2006"/>
      <c r="I51" s="2006"/>
      <c r="J51" s="2006"/>
      <c r="K51" s="2006"/>
      <c r="L51" s="2150"/>
      <c r="M51" s="2013"/>
      <c r="N51" s="2013"/>
      <c r="P51" s="2008"/>
      <c r="Q51" s="2009"/>
      <c r="R51" s="2008"/>
      <c r="S51" s="2014"/>
      <c r="T51" s="2017" t="s">
        <v>172</v>
      </c>
      <c r="U51" s="2016"/>
      <c r="V51" s="2016"/>
      <c r="W51" s="2016"/>
      <c r="X51" s="2016"/>
      <c r="Y51" s="2016"/>
      <c r="Z51" s="2016"/>
      <c r="AA51" s="2016"/>
      <c r="AB51" s="2016"/>
      <c r="AC51" s="2016"/>
      <c r="AD51" s="2016"/>
      <c r="AE51" s="2016"/>
      <c r="AF51" s="2016"/>
      <c r="AG51" s="2016"/>
      <c r="AH51" s="2016"/>
      <c r="AI51" s="2016"/>
      <c r="AJ51" s="2016"/>
      <c r="AK51" s="2016"/>
      <c r="AM51" s="1481"/>
      <c r="AN51" s="1481" t="str">
        <f>IF(T51="","",T51)</f>
        <v>Добавить централизованную систему для дифференциации</v>
      </c>
      <c r="AO51" s="1481"/>
      <c r="AP51" s="1481"/>
      <c r="AQ51" s="1210">
        <v>0</v>
      </c>
    </row>
    <row s="61695" customFormat="1" customHeight="1" ht="0">
      <c r="A52" s="2035" t="s">
        <v>311</v>
      </c>
      <c r="B52" s="2035"/>
      <c r="C52" s="2035"/>
      <c r="D52" s="2035"/>
      <c r="E52" s="2950"/>
      <c r="F52" s="2035"/>
      <c r="G52" s="2035"/>
      <c r="H52" s="2035"/>
      <c r="I52" s="2035"/>
      <c r="J52" s="2035"/>
      <c r="K52" s="2035"/>
      <c r="L52" s="2038"/>
      <c r="M52" s="2013"/>
      <c r="N52" s="2013"/>
      <c r="O52" s="1210"/>
      <c r="P52" s="1072"/>
      <c r="Q52" s="2036"/>
      <c r="R52" s="1072"/>
      <c r="S52" s="2014"/>
      <c r="T52" s="2017" t="s">
        <v>173</v>
      </c>
      <c r="U52" s="2016"/>
      <c r="V52" s="2016"/>
      <c r="W52" s="2016"/>
      <c r="X52" s="2016"/>
      <c r="Y52" s="2016"/>
      <c r="Z52" s="2016"/>
      <c r="AA52" s="2016"/>
      <c r="AB52" s="2016"/>
      <c r="AC52" s="2016"/>
      <c r="AD52" s="2016"/>
      <c r="AE52" s="2016"/>
      <c r="AF52" s="2016"/>
      <c r="AG52" s="2016"/>
      <c r="AH52" s="2016"/>
      <c r="AI52" s="2016"/>
      <c r="AJ52" s="2016"/>
      <c r="AK52" s="2016"/>
      <c r="AM52" s="1192"/>
      <c r="AN52" s="1192" t="str">
        <f>IF(T52="","",T52)</f>
        <v>Добавить территорию для дифференциации</v>
      </c>
      <c r="AO52" s="1192"/>
      <c r="AP52" s="1192"/>
      <c r="AQ52" s="1203">
        <v>0</v>
      </c>
    </row>
    <row s="61695" customFormat="1" customHeight="1" ht="0">
      <c r="A53" s="2006"/>
      <c r="B53" s="2006"/>
      <c r="C53" s="2006"/>
      <c r="D53" s="2006"/>
      <c r="E53" s="2035"/>
      <c r="F53" s="2006"/>
      <c r="G53" s="2006"/>
      <c r="H53" s="2006"/>
      <c r="I53" s="2006"/>
      <c r="J53" s="2006"/>
      <c r="K53" s="2006"/>
      <c r="L53" s="2150"/>
      <c r="M53" s="2013"/>
      <c r="N53" s="2013"/>
      <c r="P53" s="2008"/>
      <c r="Q53" s="2009"/>
      <c r="R53" s="2008"/>
      <c r="S53" s="2014"/>
      <c r="T53" s="2017" t="s">
        <v>186</v>
      </c>
      <c r="U53" s="2016"/>
      <c r="V53" s="2016"/>
      <c r="W53" s="2016"/>
      <c r="X53" s="2016"/>
      <c r="Y53" s="2016"/>
      <c r="Z53" s="2016"/>
      <c r="AA53" s="2016"/>
      <c r="AB53" s="2016"/>
      <c r="AC53" s="2016"/>
      <c r="AD53" s="2016"/>
      <c r="AE53" s="2016"/>
      <c r="AF53" s="2016"/>
      <c r="AG53" s="2016"/>
      <c r="AH53" s="2016"/>
      <c r="AI53" s="2016"/>
      <c r="AJ53" s="2016"/>
      <c r="AK53" s="2016"/>
      <c r="AM53" s="1481"/>
      <c r="AN53" s="1481" t="str">
        <f>IF(T53="","",T53)</f>
        <v>Добавить наименование тарифа</v>
      </c>
      <c r="AO53" s="1481"/>
      <c r="AP53" s="1481"/>
      <c r="AQ53" s="1210">
        <v>0</v>
      </c>
    </row>
    <row customHeight="1" ht="11.549999999999999">
      <c r="M54" s="1852"/>
      <c r="N54" s="1852"/>
      <c r="O54" s="1229"/>
      <c r="P54" s="1847"/>
      <c r="Q54" s="1847"/>
      <c r="R54" s="1847"/>
      <c r="S54" s="1847"/>
      <c r="AL54" s="1847"/>
      <c r="AM54" s="1847"/>
      <c r="AN54" s="1847"/>
      <c r="AO54" s="1847"/>
      <c r="AP54" s="1847"/>
      <c r="AQ54" s="1847">
        <v>11</v>
      </c>
    </row>
    <row customHeight="1" ht="14.699999999999998">
      <c r="O55" s="1229"/>
      <c r="S55" s="1945"/>
      <c r="T55" s="2977"/>
      <c r="U55" s="2977"/>
      <c r="V55" s="2977"/>
      <c r="W55" s="2977"/>
      <c r="X55" s="2977"/>
      <c r="Y55" s="2977"/>
      <c r="Z55" s="2977"/>
      <c r="AA55" s="2977"/>
      <c r="AB55" s="2977"/>
      <c r="AC55" s="2977"/>
      <c r="AD55" s="2977"/>
      <c r="AE55" s="2977"/>
      <c r="AF55" s="2977"/>
      <c r="AG55" s="2977"/>
      <c r="AH55" s="2977"/>
      <c r="AI55" s="2977"/>
      <c r="AJ55" s="2977"/>
      <c r="AK55" s="2977"/>
      <c r="AQ55" s="1847">
        <v>14</v>
      </c>
    </row>
    <row customHeight="1" ht="14.699999999999998">
      <c r="O56" s="1229"/>
      <c r="AQ56" s="1847">
        <v>14</v>
      </c>
    </row>
    <row customHeight="1" ht="14.699999999999998">
      <c r="O57" s="1229"/>
      <c r="S57" s="1945"/>
      <c r="T57" s="2977"/>
      <c r="U57" s="2977"/>
      <c r="V57" s="2977"/>
      <c r="W57" s="2977"/>
      <c r="X57" s="2977"/>
      <c r="Y57" s="2977"/>
      <c r="Z57" s="2977"/>
      <c r="AA57" s="2977"/>
      <c r="AB57" s="2977"/>
      <c r="AC57" s="2977"/>
      <c r="AD57" s="2977"/>
      <c r="AE57" s="2977"/>
      <c r="AF57" s="2977"/>
      <c r="AG57" s="2977"/>
      <c r="AH57" s="2977"/>
      <c r="AI57" s="2977"/>
      <c r="AJ57" s="2977"/>
      <c r="AK57" s="2977"/>
      <c r="AQ57" s="1847">
        <v>14</v>
      </c>
    </row>
    <row customHeight="1" ht="22.5" hidden="1">
      <c r="A58" s="1852" t="s">
        <v>83</v>
      </c>
      <c r="B58" s="1852">
        <v>0</v>
      </c>
      <c r="C58" s="1852">
        <v>0</v>
      </c>
      <c r="D58" s="1852">
        <v>0</v>
      </c>
      <c r="E58" s="1852">
        <v>0</v>
      </c>
      <c r="F58" s="1852">
        <v>0</v>
      </c>
      <c r="G58" s="1852">
        <v>0</v>
      </c>
      <c r="H58" s="1852">
        <v>0</v>
      </c>
      <c r="I58" s="1852">
        <v>0</v>
      </c>
      <c r="J58" s="1852">
        <v>0</v>
      </c>
      <c r="K58" s="1852">
        <v>0</v>
      </c>
      <c r="L58" s="2139">
        <v>0</v>
      </c>
      <c r="M58" s="2054">
        <v>0</v>
      </c>
      <c r="N58" s="2054">
        <v>0</v>
      </c>
      <c r="O58" s="2054">
        <v>0</v>
      </c>
      <c r="P58" s="2138">
        <v>3</v>
      </c>
      <c r="Q58" s="1036">
        <v>3</v>
      </c>
      <c r="R58" s="1036">
        <v>3</v>
      </c>
      <c r="S58" s="1273">
        <v>12</v>
      </c>
      <c r="T58" s="1847">
        <v>35</v>
      </c>
      <c r="U58" s="1847">
        <v>0</v>
      </c>
      <c r="V58" s="1847">
        <v>0</v>
      </c>
      <c r="W58" s="1847">
        <v>0</v>
      </c>
      <c r="X58" s="1847">
        <v>0</v>
      </c>
      <c r="Y58" s="1847">
        <v>0</v>
      </c>
      <c r="Z58" s="1847">
        <v>0</v>
      </c>
      <c r="AA58" s="1847">
        <v>0</v>
      </c>
      <c r="AB58" s="1847">
        <v>0</v>
      </c>
      <c r="AC58" s="1847">
        <v>24</v>
      </c>
      <c r="AD58" s="1847">
        <v>24</v>
      </c>
      <c r="AE58" s="1847">
        <v>24</v>
      </c>
      <c r="AF58" s="1847">
        <v>11</v>
      </c>
      <c r="AG58" s="1847">
        <v>3</v>
      </c>
      <c r="AH58" s="1847">
        <v>11</v>
      </c>
      <c r="AI58" s="1847">
        <v>0</v>
      </c>
      <c r="AJ58" s="1847">
        <v>4</v>
      </c>
      <c r="AK58" s="1847">
        <v>115</v>
      </c>
      <c r="AL58" s="1203">
        <v>10</v>
      </c>
      <c r="AM58" s="1203">
        <v>10</v>
      </c>
      <c r="AN58" s="1203">
        <v>10</v>
      </c>
      <c r="AO58" s="1203">
        <v>10</v>
      </c>
      <c r="AP58" s="1203">
        <v>10</v>
      </c>
      <c r="AQ58" s="184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07C0DD-7B64-A05F-8731-B3866FB1787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4.140625" hidden="1" customWidth="1"/>
    <col min="10" max="10" style="62148" width="9.8515625" hidden="1" customWidth="1"/>
    <col min="11" max="11" style="62148" width="14.7109375" hidden="1" customWidth="1"/>
    <col min="12" max="12" style="63164" width="19.140625" hidden="1" customWidth="1"/>
    <col min="13" max="14" style="61371" width="12.28125" hidden="1" customWidth="1"/>
    <col min="15" max="15" style="61371" width="23.421875" hidden="1" customWidth="1"/>
    <col min="16" max="16" style="63184" width="3.00390625" customWidth="1"/>
    <col min="17" max="18" style="62288" width="3.00390625" customWidth="1"/>
    <col min="19" max="19" style="63156" width="12.00390625" customWidth="1"/>
    <col min="20" max="20" style="62286" width="35.00390625" customWidth="1"/>
    <col min="21" max="21" style="62286" width="0.140625" customWidth="1"/>
    <col min="22" max="24" style="62286" width="24.7109375" hidden="1" customWidth="1"/>
    <col min="25" max="25" style="62286" width="11.7109375" hidden="1" customWidth="1"/>
    <col min="26" max="26" style="62286" width="3.7109375" hidden="1" customWidth="1"/>
    <col min="27" max="27" style="62286" width="11.7109375" hidden="1" customWidth="1"/>
    <col min="28" max="28" style="62286" width="8.57421875" hidden="1" customWidth="1"/>
    <col min="29" max="29" style="62286" width="24.7109375" customWidth="1"/>
    <col min="30" max="31" style="62286" width="24.00390625" customWidth="1"/>
    <col min="32" max="32" style="62286" width="11.00390625" customWidth="1"/>
    <col min="33" max="33" style="62286" width="3.7109375" customWidth="1"/>
    <col min="34" max="34" style="62286" width="11.00390625" customWidth="1"/>
    <col min="35" max="35" style="62286" width="8.57421875" hidden="1" customWidth="1"/>
    <col min="36" max="36" style="62286" width="4.00390625" customWidth="1"/>
    <col min="37" max="37" style="62286" width="115.00390625" customWidth="1"/>
    <col min="38" max="42" style="61695" width="10.00390625" customWidth="1"/>
    <col min="43" max="43" style="62286" width="10.57421875" hidden="1"/>
  </cols>
  <sheetData>
    <row customHeight="1" ht="22.5" hidden="1">
      <c r="X1" s="1019"/>
      <c r="Y1" s="1019"/>
      <c r="AE1" s="1019"/>
      <c r="AF1" s="1019"/>
      <c r="AQ1" s="1847" t="s">
        <v>14</v>
      </c>
    </row>
    <row customHeight="1" ht="23.25" hidden="1">
      <c r="A2" s="2055"/>
      <c r="B2" s="2055"/>
      <c r="C2" s="2055"/>
      <c r="D2" s="2055"/>
      <c r="E2" s="2950">
        <v>1</v>
      </c>
      <c r="F2" s="2055"/>
      <c r="G2" s="2055"/>
      <c r="H2" s="2055"/>
      <c r="I2" s="2055"/>
      <c r="J2" s="2055"/>
      <c r="K2" s="2055"/>
      <c r="L2" s="2056"/>
      <c r="M2" s="2057"/>
      <c r="N2" s="2057"/>
      <c r="O2" s="2057"/>
      <c r="P2" s="1053"/>
      <c r="Q2" s="1052"/>
      <c r="R2" s="1047"/>
      <c r="S2" s="2149">
        <f>INDEX(PT_DIFFERENTIATION_NUM_NTAR,MATCH(A2,PT_DIFFERENTIATION_NTAR_ID,0))</f>
      </c>
      <c r="T2" s="990" t="s">
        <v>131</v>
      </c>
      <c r="U2" s="992"/>
      <c r="V2" s="2934"/>
      <c r="W2" s="2935"/>
      <c r="X2" s="2935"/>
      <c r="Y2" s="2935"/>
      <c r="Z2" s="2935"/>
      <c r="AA2" s="2935"/>
      <c r="AB2" s="2936"/>
      <c r="AC2" s="2934">
        <f>INDEX(PT_DIFFERENTIATION_NTAR,MATCH(A2,PT_DIFFERENTIATION_NTAR_ID,0))</f>
      </c>
      <c r="AD2" s="2935"/>
      <c r="AE2" s="2935"/>
      <c r="AF2" s="2935"/>
      <c r="AG2" s="2935"/>
      <c r="AH2" s="2935"/>
      <c r="AI2" s="2935"/>
      <c r="AJ2" s="2936"/>
      <c r="AK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92"/>
      <c r="AN2" s="1192" t="str">
        <f>IF(T2="","",T2)</f>
        <v>Наименование тарифа</v>
      </c>
      <c r="AO2" s="1192"/>
      <c r="AP2" s="1192"/>
      <c r="AQ2" s="1847">
        <v>0</v>
      </c>
    </row>
    <row customHeight="1" ht="23.25" hidden="1">
      <c r="A3" s="2055"/>
      <c r="B3" s="2055"/>
      <c r="C3" s="2055"/>
      <c r="D3" s="2055"/>
      <c r="E3" s="2951"/>
      <c r="F3" s="2950">
        <v>1</v>
      </c>
      <c r="G3" s="2055"/>
      <c r="H3" s="2055"/>
      <c r="I3" s="2055"/>
      <c r="J3" s="2055"/>
      <c r="K3" s="2055"/>
      <c r="L3" s="2056"/>
      <c r="M3" s="2057"/>
      <c r="N3" s="2057"/>
      <c r="O3" s="2057"/>
      <c r="P3" s="2145"/>
      <c r="Q3" s="1044"/>
      <c r="R3" s="1045"/>
      <c r="S3" s="2149">
        <f>INDEX(PT_DIFFERENTIATION_NUM_TER,MATCH(B3,PT_DIFFERENTIATION_TER_ID,0))</f>
      </c>
      <c r="T3" s="1000" t="s">
        <v>472</v>
      </c>
      <c r="U3" s="992"/>
      <c r="V3" s="2934"/>
      <c r="W3" s="2935"/>
      <c r="X3" s="2935"/>
      <c r="Y3" s="2935"/>
      <c r="Z3" s="2935"/>
      <c r="AA3" s="2935"/>
      <c r="AB3" s="2936"/>
      <c r="AC3" s="2934">
        <f>INDEX(PT_DIFFERENTIATION_TER,MATCH(B3,PT_DIFFERENTIATION_TER_ID,0))</f>
      </c>
      <c r="AD3" s="2935"/>
      <c r="AE3" s="2935"/>
      <c r="AF3" s="2935"/>
      <c r="AG3" s="2935"/>
      <c r="AH3" s="2935"/>
      <c r="AI3" s="2935"/>
      <c r="AJ3" s="2936"/>
      <c r="AK3" s="1950" t="s">
        <v>473</v>
      </c>
      <c r="AM3" s="1192"/>
      <c r="AN3" s="1192" t="str">
        <f>IF(T3="","",T3)</f>
        <v>Территория действия тарифа</v>
      </c>
      <c r="AO3" s="1192"/>
      <c r="AP3" s="1192"/>
      <c r="AQ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149">
        <f>INDEX(PT_DIFFERENTIATION_NUM_CS,MATCH(C4,PT_DIFFERENTIATION_CS_ID,0))</f>
      </c>
      <c r="T4" s="1001" t="s">
        <v>555</v>
      </c>
      <c r="U4" s="992"/>
      <c r="V4" s="2934"/>
      <c r="W4" s="2935"/>
      <c r="X4" s="2935"/>
      <c r="Y4" s="2935"/>
      <c r="Z4" s="2935"/>
      <c r="AA4" s="2935"/>
      <c r="AB4" s="2936"/>
      <c r="AC4" s="2934">
        <f>INDEX(PT_DIFFERENTIATION_CS,MATCH(C4,PT_DIFFERENTIATION_CS_ID,0))</f>
      </c>
      <c r="AD4" s="2935"/>
      <c r="AE4" s="2935"/>
      <c r="AF4" s="2935"/>
      <c r="AG4" s="2935"/>
      <c r="AH4" s="2935"/>
      <c r="AI4" s="2935"/>
      <c r="AJ4" s="2936"/>
      <c r="AK4" s="1950" t="s">
        <v>556</v>
      </c>
      <c r="AM4" s="1192"/>
      <c r="AN4" s="1192" t="str">
        <f>IF(T4="","",T4)</f>
        <v>Наименование централизованной системы холодного водоснабжения</v>
      </c>
      <c r="AO4" s="1192"/>
      <c r="AP4" s="1192"/>
      <c r="AQ4" s="1847">
        <v>0</v>
      </c>
    </row>
    <row customHeight="1" ht="23.25" hidden="1">
      <c r="A5" s="2055"/>
      <c r="B5" s="2055"/>
      <c r="C5" s="2055"/>
      <c r="D5" s="2055"/>
      <c r="E5" s="2951"/>
      <c r="F5" s="2951"/>
      <c r="G5" s="2951"/>
      <c r="H5" s="2951"/>
      <c r="I5" s="2948">
        <f>S4&amp;".1"</f>
      </c>
      <c r="J5" s="2055"/>
      <c r="K5" s="2055"/>
      <c r="L5" s="2056"/>
      <c r="P5" s="2949">
        <v>1</v>
      </c>
      <c r="Q5" s="2142"/>
      <c r="R5" s="1048"/>
      <c r="S5" s="2149">
        <f>$I5</f>
      </c>
      <c r="T5" s="977" t="s">
        <v>557</v>
      </c>
      <c r="U5" s="992"/>
      <c r="V5" s="3042"/>
      <c r="W5" s="3043"/>
      <c r="X5" s="3043"/>
      <c r="Y5" s="3043"/>
      <c r="Z5" s="3043"/>
      <c r="AA5" s="3043"/>
      <c r="AB5" s="3044"/>
      <c r="AC5" s="3045"/>
      <c r="AD5" s="3046"/>
      <c r="AE5" s="3046"/>
      <c r="AF5" s="3046"/>
      <c r="AG5" s="3046"/>
      <c r="AH5" s="3046"/>
      <c r="AI5" s="3046"/>
      <c r="AJ5" s="3047"/>
      <c r="AK5" s="1950" t="s">
        <v>558</v>
      </c>
      <c r="AM5" s="1192"/>
      <c r="AN5" s="1192" t="str">
        <f>IF(T5="","",T5)</f>
        <v>Наименование признака дифференциации</v>
      </c>
      <c r="AO5" s="1192"/>
      <c r="AP5" s="1192"/>
      <c r="AQ5" s="1847">
        <v>0</v>
      </c>
    </row>
    <row customHeight="1" ht="23.25" hidden="1">
      <c r="A6" s="2055"/>
      <c r="B6" s="2055"/>
      <c r="C6" s="2055"/>
      <c r="D6" s="2055"/>
      <c r="E6" s="2951"/>
      <c r="F6" s="2951"/>
      <c r="G6" s="2951"/>
      <c r="H6" s="2951"/>
      <c r="I6" s="2978"/>
      <c r="J6" s="2948">
        <f>I5&amp;".1"</f>
      </c>
      <c r="K6" s="2055"/>
      <c r="L6" s="2056" t="s">
        <v>481</v>
      </c>
      <c r="P6" s="2949"/>
      <c r="Q6" s="2949">
        <v>1</v>
      </c>
      <c r="R6" s="1049"/>
      <c r="S6" s="2149">
        <f>$J6</f>
      </c>
      <c r="T6" s="978" t="s">
        <v>482</v>
      </c>
      <c r="U6" s="992"/>
      <c r="V6" s="2937"/>
      <c r="W6" s="2938"/>
      <c r="X6" s="2938"/>
      <c r="Y6" s="2938"/>
      <c r="Z6" s="2938"/>
      <c r="AA6" s="2938"/>
      <c r="AB6" s="2939"/>
      <c r="AC6" s="2937"/>
      <c r="AD6" s="2938"/>
      <c r="AE6" s="2938"/>
      <c r="AF6" s="2938"/>
      <c r="AG6" s="2938"/>
      <c r="AH6" s="2938"/>
      <c r="AI6" s="2938"/>
      <c r="AJ6" s="2939"/>
      <c r="AK6" s="1999" t="s">
        <v>559</v>
      </c>
      <c r="AM6" s="1192"/>
      <c r="AN6" s="1192" t="str">
        <f>IF(T6="","",T6)</f>
        <v>Группа потребителей</v>
      </c>
      <c r="AO6" s="1192"/>
      <c r="AP6" s="1192"/>
      <c r="AQ6" s="1847">
        <v>0</v>
      </c>
    </row>
    <row customHeight="1" ht="23.25" hidden="1">
      <c r="A7" s="2055"/>
      <c r="B7" s="2055"/>
      <c r="C7" s="2055"/>
      <c r="D7" s="2055"/>
      <c r="E7" s="2951"/>
      <c r="F7" s="2951"/>
      <c r="G7" s="2951"/>
      <c r="H7" s="2951"/>
      <c r="I7" s="2978"/>
      <c r="J7" s="2978"/>
      <c r="K7" s="2948">
        <f>J6&amp;".1"</f>
      </c>
      <c r="L7" s="2056"/>
      <c r="P7" s="2949"/>
      <c r="Q7" s="2949"/>
      <c r="R7" s="1049">
        <v>1</v>
      </c>
      <c r="S7" s="2149">
        <f>$K7</f>
      </c>
      <c r="T7" s="2129"/>
      <c r="U7" s="992"/>
      <c r="V7" s="1443"/>
      <c r="W7" s="1443"/>
      <c r="X7" s="1949"/>
      <c r="Y7" s="2957"/>
      <c r="Z7" s="2799" t="s">
        <v>67</v>
      </c>
      <c r="AA7" s="2957"/>
      <c r="AB7" s="2799" t="s">
        <v>67</v>
      </c>
      <c r="AC7" s="1443"/>
      <c r="AD7" s="1443"/>
      <c r="AE7" s="1949"/>
      <c r="AF7" s="2957"/>
      <c r="AG7" s="2799" t="s">
        <v>67</v>
      </c>
      <c r="AH7" s="2979"/>
      <c r="AI7" s="2799" t="s">
        <v>67</v>
      </c>
      <c r="AJ7" s="2130"/>
      <c r="AK7"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03">
        <f>STRCHECKDATE(V8:AJ8)</f>
      </c>
      <c r="AM7" s="1192"/>
      <c r="AN7" s="1192" t="str">
        <f>IF(T7="","",T7)</f>
        <v/>
      </c>
      <c r="AO7" s="1192"/>
      <c r="AP7" s="1192"/>
      <c r="AQ7" s="1847">
        <v>0</v>
      </c>
    </row>
    <row customHeight="1" ht="14.25" hidden="1">
      <c r="A8" s="2055"/>
      <c r="B8" s="2055"/>
      <c r="C8" s="2055"/>
      <c r="D8" s="2055"/>
      <c r="E8" s="2951"/>
      <c r="F8" s="2951"/>
      <c r="G8" s="2951"/>
      <c r="H8" s="2951"/>
      <c r="I8" s="2978"/>
      <c r="J8" s="2978"/>
      <c r="K8" s="2948"/>
      <c r="L8" s="2056"/>
      <c r="P8" s="2949"/>
      <c r="Q8" s="2949"/>
      <c r="R8" s="1049"/>
      <c r="S8" s="2148"/>
      <c r="T8" s="992"/>
      <c r="U8" s="992"/>
      <c r="V8" s="1017"/>
      <c r="W8" s="1017"/>
      <c r="X8" s="1020" t="str">
        <f>Y7&amp;"-"&amp;AA7</f>
        <v>-</v>
      </c>
      <c r="Y8" s="2958"/>
      <c r="Z8" s="2799"/>
      <c r="AA8" s="2958"/>
      <c r="AB8" s="2799"/>
      <c r="AC8" s="1017"/>
      <c r="AD8" s="1017"/>
      <c r="AE8" s="1020" t="str">
        <f>AF7&amp;"-"&amp;AH7</f>
        <v>-</v>
      </c>
      <c r="AF8" s="2958"/>
      <c r="AG8" s="2799"/>
      <c r="AH8" s="2980"/>
      <c r="AI8" s="2799"/>
      <c r="AJ8" s="2131"/>
      <c r="AK8" s="3041"/>
      <c r="AM8" s="1192"/>
      <c r="AN8" s="1192" t="str">
        <f>IF(T8="","",T8)</f>
        <v/>
      </c>
      <c r="AO8" s="1192"/>
      <c r="AP8" s="1192"/>
      <c r="AQ8" s="1847">
        <v>0</v>
      </c>
    </row>
    <row customHeight="1" ht="21" hidden="1">
      <c r="A9" s="2055"/>
      <c r="B9" s="2055"/>
      <c r="C9" s="2055"/>
      <c r="D9" s="2055"/>
      <c r="E9" s="2951"/>
      <c r="F9" s="2951"/>
      <c r="G9" s="2951"/>
      <c r="H9" s="2951"/>
      <c r="I9" s="2978"/>
      <c r="J9" s="2948"/>
      <c r="K9" s="2055"/>
      <c r="L9" s="2056"/>
      <c r="P9" s="2949"/>
      <c r="Q9" s="2949"/>
      <c r="R9" s="1048"/>
      <c r="S9" s="1970"/>
      <c r="T9" s="979" t="s">
        <v>560</v>
      </c>
      <c r="U9" s="1059"/>
      <c r="V9" s="1059"/>
      <c r="W9" s="1059"/>
      <c r="X9" s="1059"/>
      <c r="Y9" s="1059"/>
      <c r="Z9" s="1059"/>
      <c r="AA9" s="1059"/>
      <c r="AB9" s="1059"/>
      <c r="AC9" s="1059"/>
      <c r="AD9" s="1059"/>
      <c r="AE9" s="1059"/>
      <c r="AF9" s="1059"/>
      <c r="AG9" s="1059"/>
      <c r="AH9" s="1059"/>
      <c r="AI9" s="1059"/>
      <c r="AJ9" s="1059"/>
      <c r="AK9" s="1950" t="s">
        <v>561</v>
      </c>
      <c r="AM9" s="1192"/>
      <c r="AN9" s="1192" t="str">
        <f>IF(T9="","",T9)</f>
        <v>Добавить значение признака дифференциации</v>
      </c>
      <c r="AO9" s="1192"/>
      <c r="AP9" s="1192"/>
      <c r="AQ9" s="1847">
        <v>0</v>
      </c>
    </row>
    <row customHeight="1" ht="21" hidden="1">
      <c r="A10" s="2055"/>
      <c r="B10" s="2055"/>
      <c r="C10" s="2055"/>
      <c r="D10" s="2055"/>
      <c r="E10" s="2951"/>
      <c r="F10" s="2951"/>
      <c r="G10" s="2951"/>
      <c r="H10" s="2951"/>
      <c r="I10" s="2948"/>
      <c r="J10" s="2055"/>
      <c r="K10" s="2055"/>
      <c r="L10" s="2056"/>
      <c r="P10" s="2949"/>
      <c r="Q10" s="2142"/>
      <c r="R10" s="1048"/>
      <c r="S10" s="1970"/>
      <c r="T10" s="1057" t="s">
        <v>487</v>
      </c>
      <c r="U10" s="1059"/>
      <c r="V10" s="1059"/>
      <c r="W10" s="1059"/>
      <c r="X10" s="1059"/>
      <c r="Y10" s="1059"/>
      <c r="Z10" s="1059"/>
      <c r="AA10" s="1059"/>
      <c r="AB10" s="1058"/>
      <c r="AC10" s="1059"/>
      <c r="AD10" s="1059"/>
      <c r="AE10" s="1059"/>
      <c r="AF10" s="1059"/>
      <c r="AG10" s="1059"/>
      <c r="AH10" s="1059"/>
      <c r="AI10" s="1058"/>
      <c r="AJ10" s="1059"/>
      <c r="AK10" s="2132"/>
      <c r="AM10" s="1192"/>
      <c r="AN10" s="1192" t="str">
        <f>IF(T10="","",T10)</f>
        <v>Добавить группу потребителей</v>
      </c>
      <c r="AO10" s="1192"/>
      <c r="AP10" s="1192"/>
      <c r="AQ10" s="1847">
        <v>0</v>
      </c>
    </row>
    <row customHeight="1" ht="21" hidden="1">
      <c r="A11" s="2055"/>
      <c r="B11" s="2055"/>
      <c r="C11" s="2055"/>
      <c r="D11" s="2055"/>
      <c r="E11" s="2951"/>
      <c r="F11" s="2951"/>
      <c r="G11" s="2951"/>
      <c r="H11" s="2950"/>
      <c r="I11" s="2055"/>
      <c r="J11" s="2055"/>
      <c r="K11" s="2055"/>
      <c r="L11" s="2056"/>
      <c r="M11" s="2057"/>
      <c r="N11" s="2057"/>
      <c r="O11" s="1229"/>
      <c r="P11" s="1052"/>
      <c r="Q11" s="1067"/>
      <c r="R11" s="1047"/>
      <c r="S11" s="1970"/>
      <c r="T11" s="1064" t="s">
        <v>562</v>
      </c>
      <c r="U11" s="1059"/>
      <c r="V11" s="1059"/>
      <c r="W11" s="1059"/>
      <c r="X11" s="1059"/>
      <c r="Y11" s="1059"/>
      <c r="Z11" s="1059"/>
      <c r="AA11" s="1059"/>
      <c r="AB11" s="1058"/>
      <c r="AC11" s="1059"/>
      <c r="AD11" s="1059"/>
      <c r="AE11" s="1059"/>
      <c r="AF11" s="1059"/>
      <c r="AG11" s="1059"/>
      <c r="AH11" s="1059"/>
      <c r="AI11" s="1058"/>
      <c r="AJ11" s="1059"/>
      <c r="AK11" s="995"/>
      <c r="AM11" s="1192"/>
      <c r="AN11" s="1192" t="str">
        <f>IF(T11="","",T11)</f>
        <v>Добавить наименование признака дифференциации</v>
      </c>
      <c r="AO11" s="1192"/>
      <c r="AP11" s="1192"/>
      <c r="AQ11" s="1847">
        <v>0</v>
      </c>
    </row>
    <row s="61695" customFormat="1" customHeight="1" ht="14.25" hidden="1">
      <c r="A12" s="2035"/>
      <c r="B12" s="2035"/>
      <c r="C12" s="2006"/>
      <c r="D12" s="2006"/>
      <c r="E12" s="2951"/>
      <c r="F12" s="2950"/>
      <c r="G12" s="2006"/>
      <c r="H12" s="2006"/>
      <c r="I12" s="2006"/>
      <c r="J12" s="2006"/>
      <c r="K12" s="2006"/>
      <c r="L12" s="2150"/>
      <c r="M12" s="2013"/>
      <c r="N12" s="2013"/>
      <c r="P12" s="2008"/>
      <c r="Q12" s="2009"/>
      <c r="R12" s="2008"/>
      <c r="S12" s="2014"/>
      <c r="T12" s="2017" t="s">
        <v>172</v>
      </c>
      <c r="U12" s="2016"/>
      <c r="V12" s="2016"/>
      <c r="W12" s="2016"/>
      <c r="X12" s="2016"/>
      <c r="Y12" s="2016"/>
      <c r="Z12" s="2016"/>
      <c r="AA12" s="2016"/>
      <c r="AB12" s="2016"/>
      <c r="AC12" s="2016"/>
      <c r="AD12" s="2016"/>
      <c r="AE12" s="2016"/>
      <c r="AF12" s="2016"/>
      <c r="AG12" s="2016"/>
      <c r="AH12" s="2016"/>
      <c r="AI12" s="2016"/>
      <c r="AJ12" s="2016"/>
      <c r="AK12" s="2016"/>
      <c r="AM12" s="1481"/>
      <c r="AN12" s="1481" t="str">
        <f>IF(T12="","",T12)</f>
        <v>Добавить централизованную систему для дифференциации</v>
      </c>
      <c r="AO12" s="1481"/>
      <c r="AP12" s="1481"/>
      <c r="AQ12" s="1210">
        <v>0</v>
      </c>
    </row>
    <row s="61695" customFormat="1" customHeight="1" ht="14.25" hidden="1">
      <c r="A13" s="2035"/>
      <c r="B13" s="2035"/>
      <c r="C13" s="2035"/>
      <c r="D13" s="2035"/>
      <c r="E13" s="2950"/>
      <c r="F13" s="2035"/>
      <c r="G13" s="2035"/>
      <c r="H13" s="2035"/>
      <c r="I13" s="2035"/>
      <c r="J13" s="2035"/>
      <c r="K13" s="2035"/>
      <c r="L13" s="2038"/>
      <c r="M13" s="2013"/>
      <c r="N13" s="2013"/>
      <c r="O13" s="1210"/>
      <c r="P13" s="1072"/>
      <c r="Q13" s="2036"/>
      <c r="R13" s="1072"/>
      <c r="S13" s="2014"/>
      <c r="T13" s="2017" t="s">
        <v>173</v>
      </c>
      <c r="U13" s="2016"/>
      <c r="V13" s="2016"/>
      <c r="W13" s="2016"/>
      <c r="X13" s="2016"/>
      <c r="Y13" s="2016"/>
      <c r="Z13" s="2016"/>
      <c r="AA13" s="2016"/>
      <c r="AB13" s="2016"/>
      <c r="AC13" s="2016"/>
      <c r="AD13" s="2016"/>
      <c r="AE13" s="2016"/>
      <c r="AF13" s="2016"/>
      <c r="AG13" s="2016"/>
      <c r="AH13" s="2016"/>
      <c r="AI13" s="2016"/>
      <c r="AJ13" s="2016"/>
      <c r="AK13" s="2016"/>
      <c r="AM13" s="1192"/>
      <c r="AN13" s="1192" t="str">
        <f>IF(T13="","",T13)</f>
        <v>Добавить территорию для дифференциации</v>
      </c>
      <c r="AO13" s="1192"/>
      <c r="AP13" s="1192"/>
      <c r="AQ13" s="1203">
        <v>0</v>
      </c>
    </row>
    <row customHeight="1" ht="14.25" hidden="1">
      <c r="AB14" s="1019"/>
      <c r="AI14" s="1019"/>
      <c r="AQ14" s="1847">
        <v>0</v>
      </c>
    </row>
    <row customHeight="1" ht="14.25" hidden="1">
      <c r="AC15" s="2052"/>
      <c r="AD15" s="2052"/>
      <c r="AE15" s="2053"/>
      <c r="AF15" s="2959"/>
      <c r="AG15" s="2960" t="s">
        <v>67</v>
      </c>
      <c r="AH15" s="2959"/>
      <c r="AI15" s="2960" t="s">
        <v>67</v>
      </c>
      <c r="AQ15" s="1847">
        <v>0</v>
      </c>
    </row>
    <row customHeight="1" ht="14.25" hidden="1">
      <c r="AC16" s="2052"/>
      <c r="AD16" s="2052"/>
      <c r="AE16" s="1020" t="str">
        <f>AF15&amp;"-"&amp;AH15</f>
        <v>-</v>
      </c>
      <c r="AF16" s="2960"/>
      <c r="AG16" s="2960"/>
      <c r="AH16" s="2960"/>
      <c r="AI16" s="2960"/>
      <c r="AQ16" s="1847">
        <v>0</v>
      </c>
    </row>
    <row customHeight="1" ht="14.25" hidden="1">
      <c r="AI17" s="1019"/>
      <c r="AQ17" s="1847">
        <v>0</v>
      </c>
    </row>
    <row s="62148" customFormat="1" customHeight="1" ht="22.5" hidden="1">
      <c r="L18" s="2139"/>
      <c r="M18" s="2054"/>
      <c r="N18" s="2054"/>
      <c r="O18" s="2059" t="s">
        <v>489</v>
      </c>
      <c r="P18" s="2054"/>
      <c r="Q18" s="2063"/>
      <c r="R18" s="2063"/>
      <c r="S18" s="1421"/>
      <c r="Y18" s="2059"/>
      <c r="AA18" s="2059"/>
      <c r="AB18" s="2058"/>
      <c r="AF18" s="2059"/>
      <c r="AH18" s="2059"/>
      <c r="AI18" s="2058"/>
      <c r="AL18" s="1203"/>
      <c r="AM18" s="1203"/>
      <c r="AN18" s="1203"/>
      <c r="AO18" s="1203"/>
      <c r="AP18" s="1203"/>
      <c r="AQ18" s="1852">
        <v>0</v>
      </c>
    </row>
    <row s="62148" customFormat="1" customHeight="1" ht="14.25" hidden="1">
      <c r="L19" s="2139"/>
      <c r="M19" s="2054"/>
      <c r="N19" s="2054"/>
      <c r="O19" s="2054"/>
      <c r="P19" s="2054"/>
      <c r="Q19" s="2063"/>
      <c r="R19" s="2063"/>
      <c r="S19" s="1421"/>
      <c r="AB19" s="2058"/>
      <c r="AI19" s="2058"/>
      <c r="AL19" s="1203"/>
      <c r="AM19" s="1203"/>
      <c r="AN19" s="1203"/>
      <c r="AO19" s="1203"/>
      <c r="AP19" s="1203"/>
      <c r="AQ19" s="1852">
        <v>0</v>
      </c>
    </row>
    <row s="62148" customFormat="1" customHeight="1" ht="12" hidden="1">
      <c r="L20" s="2139"/>
      <c r="M20" s="2054"/>
      <c r="N20" s="2054"/>
      <c r="O20" s="2056" t="s">
        <v>490</v>
      </c>
      <c r="P20" s="2054"/>
      <c r="Q20" s="2134"/>
      <c r="R20" s="2134"/>
      <c r="S20" s="1421"/>
      <c r="T20" s="1852" t="s">
        <v>491</v>
      </c>
      <c r="Z20" s="878" t="s">
        <v>492</v>
      </c>
      <c r="AB20" s="878" t="s">
        <v>493</v>
      </c>
      <c r="AC20" s="1852" t="s">
        <v>491</v>
      </c>
      <c r="AG20" s="878" t="s">
        <v>494</v>
      </c>
      <c r="AI20" s="878" t="s">
        <v>493</v>
      </c>
      <c r="AQ20" s="1852">
        <v>0</v>
      </c>
    </row>
    <row customHeight="1" ht="14.25" hidden="1">
      <c r="O21" s="2056"/>
      <c r="AQ21" s="1847">
        <v>0</v>
      </c>
    </row>
    <row customHeight="1" ht="14.25" hidden="1">
      <c r="O22" s="2056"/>
      <c r="AQ22" s="1847">
        <v>0</v>
      </c>
    </row>
    <row customHeight="1" ht="14.699999999999998">
      <c r="Q23" s="1068"/>
      <c r="R23" s="1068"/>
      <c r="S23" s="1967"/>
      <c r="T23" s="1055"/>
      <c r="U23" s="1055"/>
      <c r="V23" s="1201"/>
      <c r="W23" s="1201"/>
      <c r="X23" s="1201"/>
      <c r="Y23" s="1201"/>
      <c r="Z23" s="1201"/>
      <c r="AA23" s="1201"/>
      <c r="AB23" s="1201"/>
      <c r="AC23" s="1201"/>
      <c r="AD23" s="1201"/>
      <c r="AE23" s="1201"/>
      <c r="AF23" s="1201"/>
      <c r="AG23" s="1201"/>
      <c r="AH23" s="1201"/>
      <c r="AI23" s="1201"/>
      <c r="AQ23" s="1847">
        <v>14</v>
      </c>
    </row>
    <row customHeight="1" ht="14.699999999999998">
      <c r="Q24" s="1068"/>
      <c r="R24" s="1068"/>
      <c r="S24" s="294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40"/>
      <c r="U24" s="2940"/>
      <c r="V24" s="2940"/>
      <c r="W24" s="2940"/>
      <c r="X24" s="2940"/>
      <c r="Y24" s="2940"/>
      <c r="Z24" s="2940"/>
      <c r="AA24" s="2940"/>
      <c r="AB24" s="2940"/>
      <c r="AC24" s="2940"/>
      <c r="AD24" s="2940"/>
      <c r="AE24" s="2940"/>
      <c r="AF24" s="2940"/>
      <c r="AG24" s="2940"/>
      <c r="AH24" s="2940"/>
      <c r="AI24" s="1935"/>
      <c r="AQ24" s="1847">
        <v>14</v>
      </c>
    </row>
    <row customHeight="1" ht="14.699999999999998">
      <c r="Q25" s="1068"/>
      <c r="R25" s="1068"/>
      <c r="S25" s="2941" t="str">
        <f>IF(org=0,"Не определено",org)</f>
        <v>АО "ДГК"</v>
      </c>
      <c r="T25" s="2941"/>
      <c r="U25" s="2941"/>
      <c r="V25" s="2941"/>
      <c r="W25" s="2941"/>
      <c r="X25" s="2941"/>
      <c r="Y25" s="2941"/>
      <c r="Z25" s="2941"/>
      <c r="AA25" s="2941"/>
      <c r="AB25" s="2941"/>
      <c r="AC25" s="2941"/>
      <c r="AD25" s="2941"/>
      <c r="AE25" s="2941"/>
      <c r="AF25" s="2941"/>
      <c r="AG25" s="2941"/>
      <c r="AH25" s="2941"/>
      <c r="AI25" s="1935"/>
      <c r="AQ25" s="1847">
        <v>14</v>
      </c>
    </row>
    <row customHeight="1" ht="14.25" hidden="1">
      <c r="Q26" s="1068"/>
      <c r="R26" s="1068"/>
      <c r="S26" s="1967"/>
      <c r="T26" s="1055"/>
      <c r="U26" s="1055"/>
      <c r="V26" s="1014"/>
      <c r="W26" s="1014"/>
      <c r="X26" s="1014"/>
      <c r="Y26" s="1014"/>
      <c r="Z26" s="1014"/>
      <c r="AA26" s="1014"/>
      <c r="AB26" s="1014"/>
      <c r="AC26" s="1014"/>
      <c r="AD26" s="1014"/>
      <c r="AE26" s="1014"/>
      <c r="AF26" s="1014"/>
      <c r="AG26" s="1014"/>
      <c r="AH26" s="1014"/>
      <c r="AI26" s="1014"/>
      <c r="AJ26" s="1201"/>
      <c r="AQ26" s="1847">
        <v>0</v>
      </c>
    </row>
    <row s="63055" customFormat="1" customHeight="1" ht="25.5" hidden="1">
      <c r="A27" s="2060"/>
      <c r="B27" s="2060"/>
      <c r="C27" s="2060"/>
      <c r="D27" s="2060"/>
      <c r="E27" s="2060"/>
      <c r="F27" s="2060"/>
      <c r="G27" s="2060"/>
      <c r="H27" s="2060"/>
      <c r="I27" s="2060"/>
      <c r="J27" s="2060"/>
      <c r="K27" s="2060"/>
      <c r="L27" s="2061"/>
      <c r="M27" s="2060"/>
      <c r="N27" s="2060"/>
      <c r="O27" s="2060"/>
      <c r="S27" s="2942" t="s">
        <v>42</v>
      </c>
      <c r="T27" s="2942"/>
      <c r="U27" s="2064"/>
      <c r="V27" s="2943" t="str">
        <f>IF(TITLE_NAME_OR_PR_CHANGE="",IF(TITLE_NAME_OR_PR="","",TITLE_NAME_OR_PR),TITLE_NAME_OR_PR_CHANGE)</f>
        <v/>
      </c>
      <c r="W27" s="2943"/>
      <c r="X27" s="2943"/>
      <c r="Y27" s="2943"/>
      <c r="Z27" s="2943"/>
      <c r="AA27" s="2943"/>
      <c r="AB27" s="1018"/>
      <c r="AC27" s="2943" t="str">
        <f>IF(TITLE_NAME_OR_PR_CHANGE="",IF(TITLE_NAME_OR_PR="","",TITLE_NAME_OR_PR),TITLE_NAME_OR_PR_CHANGE)</f>
        <v/>
      </c>
      <c r="AD27" s="2943"/>
      <c r="AE27" s="2943"/>
      <c r="AF27" s="2943"/>
      <c r="AG27" s="2943"/>
      <c r="AH27" s="2943"/>
      <c r="AI27" s="1018"/>
      <c r="AJ27" s="1018"/>
      <c r="AK27" s="972"/>
      <c r="AL27" s="1060"/>
      <c r="AM27" s="1060"/>
      <c r="AN27" s="1060"/>
      <c r="AO27" s="1060"/>
      <c r="AP27" s="1060"/>
      <c r="AQ27" s="1110">
        <v>0</v>
      </c>
    </row>
    <row s="63055" customFormat="1" customHeight="1" ht="18.75" hidden="1">
      <c r="A28" s="2060"/>
      <c r="B28" s="2060"/>
      <c r="C28" s="2060"/>
      <c r="D28" s="2060"/>
      <c r="E28" s="2060"/>
      <c r="F28" s="2060"/>
      <c r="G28" s="2060"/>
      <c r="H28" s="2060"/>
      <c r="I28" s="2060"/>
      <c r="J28" s="2060"/>
      <c r="K28" s="2060"/>
      <c r="L28" s="2061"/>
      <c r="M28" s="2060"/>
      <c r="N28" s="2060"/>
      <c r="O28" s="2060"/>
      <c r="S28" s="2942" t="s">
        <v>495</v>
      </c>
      <c r="T28" s="2942"/>
      <c r="U28" s="2064"/>
      <c r="V28" s="2956" t="str">
        <f>IF(TITLE_DATE_PR_CHANGE="",IF(TITLE_DATE_PR="","",TITLE_DATE_PR),TITLE_DATE_PR_CHANGE)</f>
        <v>45981</v>
      </c>
      <c r="W28" s="2956"/>
      <c r="X28" s="2956"/>
      <c r="Y28" s="2956"/>
      <c r="Z28" s="2956"/>
      <c r="AA28" s="2956"/>
      <c r="AB28" s="1018"/>
      <c r="AC28" s="2956" t="str">
        <f>IF(TITLE_DATE_PR_CHANGE="",IF(TITLE_DATE_PR="","",TITLE_DATE_PR),TITLE_DATE_PR_CHANGE)</f>
        <v>45981</v>
      </c>
      <c r="AD28" s="2956"/>
      <c r="AE28" s="2956"/>
      <c r="AF28" s="2956"/>
      <c r="AG28" s="2956"/>
      <c r="AH28" s="2956"/>
      <c r="AI28" s="1018"/>
      <c r="AJ28" s="1018"/>
      <c r="AK28" s="972"/>
      <c r="AL28" s="1060"/>
      <c r="AM28" s="1060"/>
      <c r="AN28" s="1060"/>
      <c r="AO28" s="1060"/>
      <c r="AP28" s="1060"/>
      <c r="AQ28" s="1110">
        <v>0</v>
      </c>
    </row>
    <row s="63055" customFormat="1" customHeight="1" ht="18.75" hidden="1">
      <c r="A29" s="2060"/>
      <c r="B29" s="2060"/>
      <c r="C29" s="2060"/>
      <c r="D29" s="2060"/>
      <c r="E29" s="2060"/>
      <c r="F29" s="2060"/>
      <c r="G29" s="2060"/>
      <c r="H29" s="2060"/>
      <c r="I29" s="2060"/>
      <c r="J29" s="2060"/>
      <c r="K29" s="2060"/>
      <c r="L29" s="2061"/>
      <c r="M29" s="2060"/>
      <c r="N29" s="2060"/>
      <c r="O29" s="2060"/>
      <c r="S29" s="2942" t="s">
        <v>496</v>
      </c>
      <c r="T29" s="2942"/>
      <c r="U29" s="2064"/>
      <c r="V29" s="2943" t="str">
        <f>IF(TITLE_NUMBER_PR_CHANGE="",IF(TITLE_NUMBER_PR="","",TITLE_NUMBER_PR),TITLE_NUMBER_PR_CHANGE)</f>
        <v>Исх-260/1781</v>
      </c>
      <c r="W29" s="2943"/>
      <c r="X29" s="2943"/>
      <c r="Y29" s="2943"/>
      <c r="Z29" s="2943"/>
      <c r="AA29" s="2943"/>
      <c r="AB29" s="1018"/>
      <c r="AC29" s="2943" t="str">
        <f>IF(TITLE_NUMBER_PR_CHANGE="",IF(TITLE_NUMBER_PR="","",TITLE_NUMBER_PR),TITLE_NUMBER_PR_CHANGE)</f>
        <v>Исх-260/1781</v>
      </c>
      <c r="AD29" s="2943"/>
      <c r="AE29" s="2943"/>
      <c r="AF29" s="2943"/>
      <c r="AG29" s="2943"/>
      <c r="AH29" s="2943"/>
      <c r="AI29" s="1018"/>
      <c r="AJ29" s="1018"/>
      <c r="AK29" s="972"/>
      <c r="AL29" s="1060"/>
      <c r="AM29" s="1060"/>
      <c r="AN29" s="1060"/>
      <c r="AO29" s="1060"/>
      <c r="AP29" s="1060"/>
      <c r="AQ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43</v>
      </c>
      <c r="T30" s="2942"/>
      <c r="U30" s="2064"/>
      <c r="V30" s="2943" t="str">
        <f>IF(TITLE_IST_PUB_CHANGE="",IF(TITLE_IST_PUB="","",TITLE_IST_PUB),TITLE_IST_PUB_CHANGE)</f>
        <v/>
      </c>
      <c r="W30" s="2943"/>
      <c r="X30" s="2943"/>
      <c r="Y30" s="2943"/>
      <c r="Z30" s="2943"/>
      <c r="AA30" s="2943"/>
      <c r="AB30" s="1018"/>
      <c r="AC30" s="2943" t="str">
        <f>IF(TITLE_IST_PUB_CHANGE="",IF(TITLE_IST_PUB="","",TITLE_IST_PUB),TITLE_IST_PUB_CHANGE)</f>
        <v/>
      </c>
      <c r="AD30" s="2943"/>
      <c r="AE30" s="2943"/>
      <c r="AF30" s="2943"/>
      <c r="AG30" s="2943"/>
      <c r="AH30" s="2943"/>
      <c r="AI30" s="1018"/>
      <c r="AJ30" s="1018"/>
      <c r="AK30" s="972"/>
      <c r="AL30" s="1060"/>
      <c r="AM30" s="1060"/>
      <c r="AN30" s="1060"/>
      <c r="AO30" s="1060"/>
      <c r="AP30" s="1060"/>
      <c r="AQ30" s="1110">
        <v>0</v>
      </c>
    </row>
    <row customHeight="1" ht="14.25">
      <c r="Q31" s="1068"/>
      <c r="R31" s="1068"/>
      <c r="S31" s="1967"/>
      <c r="T31" s="1055"/>
      <c r="U31" s="1055"/>
      <c r="V31" s="1014"/>
      <c r="W31" s="1014"/>
      <c r="X31" s="1014"/>
      <c r="Y31" s="1014"/>
      <c r="Z31" s="1014"/>
      <c r="AA31" s="1014"/>
      <c r="AB31" s="1014"/>
      <c r="AC31" s="1014"/>
      <c r="AD31" s="1014"/>
      <c r="AE31" s="1014"/>
      <c r="AF31" s="1014"/>
      <c r="AG31" s="1014"/>
      <c r="AH31" s="1014"/>
      <c r="AI31" s="1014"/>
      <c r="AJ31" s="1201"/>
      <c r="AQ31" s="1847">
        <v>0</v>
      </c>
    </row>
    <row s="63055" customFormat="1" customHeight="1" ht="18.75">
      <c r="A32" s="2060"/>
      <c r="B32" s="2060"/>
      <c r="C32" s="2060"/>
      <c r="D32" s="2060"/>
      <c r="E32" s="2060"/>
      <c r="F32" s="2060"/>
      <c r="G32" s="2060"/>
      <c r="H32" s="2060"/>
      <c r="I32" s="2060"/>
      <c r="J32" s="2060"/>
      <c r="K32" s="2060"/>
      <c r="L32" s="2061"/>
      <c r="M32" s="2060"/>
      <c r="N32" s="2060"/>
      <c r="O32" s="2060"/>
      <c r="S32" s="2942" t="s">
        <v>497</v>
      </c>
      <c r="T32" s="2942"/>
      <c r="U32" s="2064"/>
      <c r="V32" s="2956" t="str">
        <f>IF(TITLE_DATE_PR_CHANGE="",IF(TITLE_DATE_PR="","",TITLE_DATE_PR),TITLE_DATE_PR_CHANGE)</f>
        <v>45981</v>
      </c>
      <c r="W32" s="2956"/>
      <c r="X32" s="2956"/>
      <c r="Y32" s="2956"/>
      <c r="Z32" s="2956"/>
      <c r="AA32" s="2956"/>
      <c r="AB32" s="1018"/>
      <c r="AC32" s="2956" t="str">
        <f>IF(TITLE_DATE_PR_CHANGE="",IF(TITLE_DATE_PR="","",TITLE_DATE_PR),TITLE_DATE_PR_CHANGE)</f>
        <v>45981</v>
      </c>
      <c r="AD32" s="2956"/>
      <c r="AE32" s="2956"/>
      <c r="AF32" s="2956"/>
      <c r="AG32" s="2956"/>
      <c r="AH32" s="2956"/>
      <c r="AI32" s="1018"/>
      <c r="AJ32" s="1018"/>
      <c r="AK32" s="972"/>
      <c r="AL32" s="1060"/>
      <c r="AM32" s="1060"/>
      <c r="AN32" s="1060"/>
      <c r="AO32" s="1060"/>
      <c r="AP32" s="1060"/>
      <c r="AQ32" s="1110">
        <v>0</v>
      </c>
    </row>
    <row s="63055" customFormat="1" customHeight="1" ht="18.75">
      <c r="A33" s="2060"/>
      <c r="B33" s="2060"/>
      <c r="C33" s="2060"/>
      <c r="D33" s="2060"/>
      <c r="E33" s="2060"/>
      <c r="F33" s="2060"/>
      <c r="G33" s="2060"/>
      <c r="H33" s="2060"/>
      <c r="I33" s="2060"/>
      <c r="J33" s="2060"/>
      <c r="K33" s="2060"/>
      <c r="L33" s="2061"/>
      <c r="M33" s="2060"/>
      <c r="N33" s="2060"/>
      <c r="O33" s="2060"/>
      <c r="S33" s="2942" t="s">
        <v>498</v>
      </c>
      <c r="T33" s="2942"/>
      <c r="U33" s="2064"/>
      <c r="V33" s="2943" t="str">
        <f>IF(TITLE_NUMBER_PR_CHANGE="",IF(TITLE_NUMBER_PR="","",TITLE_NUMBER_PR),TITLE_NUMBER_PR_CHANGE)</f>
        <v>Исх-260/1781</v>
      </c>
      <c r="W33" s="2943"/>
      <c r="X33" s="2943"/>
      <c r="Y33" s="2943"/>
      <c r="Z33" s="2943"/>
      <c r="AA33" s="2943"/>
      <c r="AB33" s="1018"/>
      <c r="AC33" s="2943" t="str">
        <f>IF(TITLE_NUMBER_PR_CHANGE="",IF(TITLE_NUMBER_PR="","",TITLE_NUMBER_PR),TITLE_NUMBER_PR_CHANGE)</f>
        <v>Исх-260/1781</v>
      </c>
      <c r="AD33" s="2943"/>
      <c r="AE33" s="2943"/>
      <c r="AF33" s="2943"/>
      <c r="AG33" s="2943"/>
      <c r="AH33" s="2943"/>
      <c r="AI33" s="1018"/>
      <c r="AJ33" s="1018"/>
      <c r="AK33" s="972"/>
      <c r="AL33" s="1060"/>
      <c r="AM33" s="1060"/>
      <c r="AN33" s="1060"/>
      <c r="AO33" s="1060"/>
      <c r="AP33" s="1060"/>
      <c r="AQ33" s="1110">
        <v>0</v>
      </c>
    </row>
    <row s="63055" customFormat="1" customHeight="1" ht="1.05">
      <c r="A34" s="2060"/>
      <c r="B34" s="2060"/>
      <c r="C34" s="2060"/>
      <c r="D34" s="2060"/>
      <c r="E34" s="2060"/>
      <c r="F34" s="2060"/>
      <c r="G34" s="2060"/>
      <c r="H34" s="2060"/>
      <c r="I34" s="2060"/>
      <c r="J34" s="2060"/>
      <c r="K34" s="2060"/>
      <c r="L34" s="2061"/>
      <c r="M34" s="2060"/>
      <c r="N34" s="2060"/>
      <c r="O34" s="2060"/>
      <c r="S34" s="1015"/>
      <c r="T34" s="1015"/>
      <c r="U34" s="2146"/>
      <c r="V34" s="1018"/>
      <c r="W34" s="1018"/>
      <c r="X34" s="1018"/>
      <c r="Y34" s="1018"/>
      <c r="Z34" s="1018"/>
      <c r="AA34" s="1018"/>
      <c r="AB34" s="970" t="s">
        <v>499</v>
      </c>
      <c r="AC34" s="1018"/>
      <c r="AD34" s="1018"/>
      <c r="AE34" s="1018"/>
      <c r="AF34" s="1018"/>
      <c r="AG34" s="1018"/>
      <c r="AH34" s="1018"/>
      <c r="AI34" s="970" t="s">
        <v>499</v>
      </c>
      <c r="AL34" s="1060"/>
      <c r="AM34" s="1060"/>
      <c r="AN34" s="1060"/>
      <c r="AO34" s="1060"/>
      <c r="AP34" s="1060"/>
      <c r="AQ34" s="1110">
        <v>1</v>
      </c>
    </row>
    <row customHeight="1" ht="14.699999999999998">
      <c r="Q35" s="1068"/>
      <c r="R35" s="1068"/>
      <c r="S35" s="1967"/>
      <c r="T35" s="1055"/>
      <c r="U35" s="1936"/>
      <c r="V35" s="2944"/>
      <c r="W35" s="2944"/>
      <c r="X35" s="2944"/>
      <c r="Y35" s="2944"/>
      <c r="Z35" s="2944"/>
      <c r="AA35" s="2944"/>
      <c r="AB35" s="2944"/>
      <c r="AC35" s="2944"/>
      <c r="AD35" s="2944"/>
      <c r="AE35" s="2944"/>
      <c r="AF35" s="2944"/>
      <c r="AG35" s="2944"/>
      <c r="AH35" s="2944"/>
      <c r="AI35" s="2944"/>
      <c r="AQ35" s="1847">
        <v>14</v>
      </c>
    </row>
    <row customHeight="1" ht="14.699999999999998">
      <c r="Q36" s="1068"/>
      <c r="R36" s="1068"/>
      <c r="S36" s="2819" t="s">
        <v>375</v>
      </c>
      <c r="T36" s="2819"/>
      <c r="U36" s="2819"/>
      <c r="V36" s="2819"/>
      <c r="W36" s="2819"/>
      <c r="X36" s="2819"/>
      <c r="Y36" s="2819"/>
      <c r="Z36" s="2819"/>
      <c r="AA36" s="2819"/>
      <c r="AB36" s="2819"/>
      <c r="AC36" s="2819"/>
      <c r="AD36" s="2819"/>
      <c r="AE36" s="2819"/>
      <c r="AF36" s="2819"/>
      <c r="AG36" s="2819"/>
      <c r="AH36" s="2819"/>
      <c r="AI36" s="2819"/>
      <c r="AJ36" s="2819"/>
      <c r="AK36" s="2819" t="s">
        <v>376</v>
      </c>
      <c r="AQ36" s="1847">
        <v>14</v>
      </c>
    </row>
    <row customHeight="1" ht="14.699999999999998">
      <c r="Q37" s="1068"/>
      <c r="R37" s="1068"/>
      <c r="S37" s="2965" t="s">
        <v>89</v>
      </c>
      <c r="T37" s="2901" t="s">
        <v>500</v>
      </c>
      <c r="U37" s="993"/>
      <c r="V37" s="2966" t="s">
        <v>501</v>
      </c>
      <c r="W37" s="2967"/>
      <c r="X37" s="2967"/>
      <c r="Y37" s="2967"/>
      <c r="Z37" s="2967"/>
      <c r="AA37" s="2968"/>
      <c r="AB37" s="2969" t="s">
        <v>502</v>
      </c>
      <c r="AC37" s="2966" t="s">
        <v>501</v>
      </c>
      <c r="AD37" s="2967"/>
      <c r="AE37" s="2967"/>
      <c r="AF37" s="2967"/>
      <c r="AG37" s="2967"/>
      <c r="AH37" s="2968"/>
      <c r="AI37" s="2969" t="s">
        <v>503</v>
      </c>
      <c r="AJ37" s="2972" t="s">
        <v>504</v>
      </c>
      <c r="AK37" s="2819"/>
      <c r="AQ37" s="1847">
        <v>14</v>
      </c>
    </row>
    <row customHeight="1" ht="35.699999999999996">
      <c r="Q38" s="1068"/>
      <c r="R38" s="1068"/>
      <c r="S38" s="2965"/>
      <c r="T38" s="2901"/>
      <c r="U38" s="1723"/>
      <c r="V38" s="2144" t="s">
        <v>563</v>
      </c>
      <c r="W38" s="2954" t="s">
        <v>507</v>
      </c>
      <c r="X38" s="2955"/>
      <c r="Y38" s="2954" t="s">
        <v>508</v>
      </c>
      <c r="Z38" s="2961"/>
      <c r="AA38" s="2955"/>
      <c r="AB38" s="2970"/>
      <c r="AC38" s="2144" t="s">
        <v>563</v>
      </c>
      <c r="AD38" s="2954" t="s">
        <v>507</v>
      </c>
      <c r="AE38" s="2955"/>
      <c r="AF38" s="2954" t="s">
        <v>508</v>
      </c>
      <c r="AG38" s="2961"/>
      <c r="AH38" s="2955"/>
      <c r="AI38" s="2970"/>
      <c r="AJ38" s="2973"/>
      <c r="AK38" s="2819"/>
      <c r="AQ38" s="1847">
        <v>34</v>
      </c>
    </row>
    <row customHeight="1" ht="35.699999999999996">
      <c r="A39" s="2062"/>
      <c r="B39" s="2062" t="s">
        <v>143</v>
      </c>
      <c r="C39" s="2062" t="s">
        <v>144</v>
      </c>
      <c r="D39" s="2062" t="s">
        <v>145</v>
      </c>
      <c r="E39" s="2056" t="s">
        <v>509</v>
      </c>
      <c r="F39" s="2056" t="s">
        <v>510</v>
      </c>
      <c r="G39" s="2056" t="s">
        <v>511</v>
      </c>
      <c r="H39" s="2056"/>
      <c r="I39" s="2056" t="s">
        <v>564</v>
      </c>
      <c r="J39" s="2056" t="s">
        <v>514</v>
      </c>
      <c r="K39" s="2056" t="s">
        <v>565</v>
      </c>
      <c r="L39" s="2056" t="s">
        <v>490</v>
      </c>
      <c r="Q39" s="1068"/>
      <c r="R39" s="1068"/>
      <c r="S39" s="2965"/>
      <c r="T39" s="2901"/>
      <c r="U39" s="994"/>
      <c r="V39" s="2144" t="s">
        <v>566</v>
      </c>
      <c r="W39" s="1914" t="s">
        <v>567</v>
      </c>
      <c r="X39" s="1914" t="s">
        <v>568</v>
      </c>
      <c r="Y39" s="2147" t="s">
        <v>518</v>
      </c>
      <c r="Z39" s="2962" t="s">
        <v>519</v>
      </c>
      <c r="AA39" s="2963"/>
      <c r="AB39" s="2971"/>
      <c r="AC39" s="2144" t="s">
        <v>566</v>
      </c>
      <c r="AD39" s="1914" t="s">
        <v>567</v>
      </c>
      <c r="AE39" s="1914" t="s">
        <v>568</v>
      </c>
      <c r="AF39" s="2147" t="s">
        <v>518</v>
      </c>
      <c r="AG39" s="2962" t="s">
        <v>519</v>
      </c>
      <c r="AH39" s="2963"/>
      <c r="AI39" s="2971"/>
      <c r="AJ39" s="2974"/>
      <c r="AK39" s="2819"/>
      <c r="AQ39" s="1847">
        <v>34</v>
      </c>
    </row>
    <row s="61193" customFormat="1" customHeight="1" ht="0">
      <c r="A40" s="2062"/>
      <c r="B40" s="2062"/>
      <c r="C40" s="2062"/>
      <c r="D40" s="2062"/>
      <c r="E40" s="2062"/>
      <c r="F40" s="2062"/>
      <c r="G40" s="2062"/>
      <c r="H40" s="2062"/>
      <c r="I40" s="2062"/>
      <c r="J40" s="2062"/>
      <c r="K40" s="2062"/>
      <c r="L40" s="2056"/>
      <c r="M40" s="2054"/>
      <c r="N40" s="2054"/>
      <c r="O40" s="2054"/>
      <c r="P40" s="1938"/>
      <c r="Q40" s="1939"/>
      <c r="R40" s="1946">
        <v>1</v>
      </c>
      <c r="S40" s="1969" t="s">
        <v>118</v>
      </c>
      <c r="T40" s="1947" t="s">
        <v>103</v>
      </c>
      <c r="U40" s="1937" t="str">
        <f>OFFSET(U40,0,-1)</f>
        <v>2</v>
      </c>
      <c r="V40" s="2143">
        <f>OFFSET(V40,0,-1)+1</f>
        <v>3</v>
      </c>
      <c r="W40" s="2143">
        <f>OFFSET(W40,0,-1)+1</f>
        <v>4</v>
      </c>
      <c r="X40" s="2143">
        <f>OFFSET(X40,0,-1)+1</f>
        <v>5</v>
      </c>
      <c r="Y40" s="2143">
        <f>OFFSET(Y40,0,-1)+1</f>
        <v>6</v>
      </c>
      <c r="Z40" s="2964">
        <f>OFFSET(Z40,0,-1)+1</f>
        <v>7</v>
      </c>
      <c r="AA40" s="2964"/>
      <c r="AB40" s="2143">
        <f>OFFSET(AB40,0,-2)+1</f>
        <v>8</v>
      </c>
      <c r="AC40" s="2143">
        <f>OFFSET(AC40,0,-1)+1</f>
        <v>9</v>
      </c>
      <c r="AD40" s="2143">
        <f>OFFSET(AD40,0,-1)+1</f>
        <v>10</v>
      </c>
      <c r="AE40" s="2143">
        <f>OFFSET(AE40,0,-1)+1</f>
        <v>11</v>
      </c>
      <c r="AF40" s="2143">
        <f>OFFSET(AF40,0,-1)+1</f>
        <v>12</v>
      </c>
      <c r="AG40" s="2964">
        <f>OFFSET(AG40,0,-1)+1</f>
        <v>13</v>
      </c>
      <c r="AH40" s="2964"/>
      <c r="AI40" s="2143">
        <f>OFFSET(AI40,0,-2)+1</f>
        <v>14</v>
      </c>
      <c r="AJ40" s="1937">
        <f>OFFSET(AJ40,0,-1)</f>
        <v>14</v>
      </c>
      <c r="AK40" s="2143">
        <f>OFFSET(AK40,0,-1)+1</f>
        <v>15</v>
      </c>
      <c r="AL40" s="1203"/>
      <c r="AM40" s="1203"/>
      <c r="AN40" s="1203"/>
      <c r="AO40" s="1203"/>
      <c r="AP40" s="1203"/>
      <c r="AQ40" s="1188">
        <v>0</v>
      </c>
    </row>
    <row customHeight="1" ht="24">
      <c r="A41" s="2055" t="s">
        <v>316</v>
      </c>
      <c r="B41" s="2055"/>
      <c r="C41" s="2055"/>
      <c r="D41" s="2055"/>
      <c r="E41" s="2950">
        <v>1</v>
      </c>
      <c r="F41" s="2055"/>
      <c r="G41" s="2055"/>
      <c r="H41" s="2055"/>
      <c r="I41" s="2055"/>
      <c r="J41" s="2055"/>
      <c r="K41" s="2055"/>
      <c r="L41" s="2056"/>
      <c r="M41" s="2057"/>
      <c r="N41" s="2057"/>
      <c r="O41" s="2057"/>
      <c r="P41" s="1053"/>
      <c r="Q41" s="1052"/>
      <c r="R41" s="1047"/>
      <c r="S41" s="2149">
        <f>INDEX(PT_DIFFERENTIATION_NUM_NTAR,MATCH(A41,PT_DIFFERENTIATION_NTAR_ID,0))</f>
        <v>0</v>
      </c>
      <c r="T41" s="990" t="s">
        <v>131</v>
      </c>
      <c r="U41" s="992"/>
      <c r="V41" s="2934"/>
      <c r="W41" s="2935"/>
      <c r="X41" s="2935"/>
      <c r="Y41" s="2935"/>
      <c r="Z41" s="2935"/>
      <c r="AA41" s="2935"/>
      <c r="AB41" s="2936"/>
      <c r="AC41" s="2934" t="str">
        <f>INDEX(PT_DIFFERENTIATION_NTAR,MATCH(A41,PT_DIFFERENTIATION_NTAR_ID,0))</f>
        <v/>
      </c>
      <c r="AD41" s="2935"/>
      <c r="AE41" s="2935"/>
      <c r="AF41" s="2935"/>
      <c r="AG41" s="2935"/>
      <c r="AH41" s="2935"/>
      <c r="AI41" s="2935"/>
      <c r="AJ41" s="2936"/>
      <c r="AK41"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92"/>
      <c r="AN41" s="1192" t="str">
        <f>IF(T41="","",T41)</f>
        <v>Наименование тарифа</v>
      </c>
      <c r="AO41" s="1192"/>
      <c r="AP41" s="1192"/>
      <c r="AQ41" s="1847">
        <v>23</v>
      </c>
    </row>
    <row customHeight="1" ht="24">
      <c r="A42" s="2055" t="s">
        <v>316</v>
      </c>
      <c r="B42" s="2055" t="s">
        <v>317</v>
      </c>
      <c r="C42" s="2055"/>
      <c r="D42" s="2055"/>
      <c r="E42" s="2951"/>
      <c r="F42" s="2950">
        <v>1</v>
      </c>
      <c r="G42" s="2055"/>
      <c r="H42" s="2055"/>
      <c r="I42" s="2055"/>
      <c r="J42" s="2055"/>
      <c r="K42" s="2055"/>
      <c r="L42" s="2056"/>
      <c r="M42" s="2057"/>
      <c r="N42" s="2057"/>
      <c r="O42" s="2057"/>
      <c r="P42" s="2145"/>
      <c r="Q42" s="1044"/>
      <c r="R42" s="1045"/>
      <c r="S42" s="2149" t="str">
        <f>INDEX(PT_DIFFERENTIATION_NUM_TER,MATCH(B42,PT_DIFFERENTIATION_TER_ID,0))</f>
        <v>.</v>
      </c>
      <c r="T42" s="1000" t="s">
        <v>472</v>
      </c>
      <c r="U42" s="992"/>
      <c r="V42" s="2934"/>
      <c r="W42" s="2935"/>
      <c r="X42" s="2935"/>
      <c r="Y42" s="2935"/>
      <c r="Z42" s="2935"/>
      <c r="AA42" s="2935"/>
      <c r="AB42" s="2936"/>
      <c r="AC42" s="2934" t="str">
        <f>INDEX(PT_DIFFERENTIATION_TER,MATCH(B42,PT_DIFFERENTIATION_TER_ID,0))</f>
        <v/>
      </c>
      <c r="AD42" s="2935"/>
      <c r="AE42" s="2935"/>
      <c r="AF42" s="2935"/>
      <c r="AG42" s="2935"/>
      <c r="AH42" s="2935"/>
      <c r="AI42" s="2935"/>
      <c r="AJ42" s="2936"/>
      <c r="AK42" s="1950" t="s">
        <v>473</v>
      </c>
      <c r="AM42" s="1192"/>
      <c r="AN42" s="1192" t="str">
        <f>IF(T42="","",T42)</f>
        <v>Территория действия тарифа</v>
      </c>
      <c r="AO42" s="1192"/>
      <c r="AP42" s="1192"/>
      <c r="AQ42" s="1847">
        <v>23</v>
      </c>
    </row>
    <row customHeight="1" ht="24">
      <c r="A43" s="2055" t="s">
        <v>316</v>
      </c>
      <c r="B43" s="2055" t="s">
        <v>317</v>
      </c>
      <c r="C43" s="2055" t="s">
        <v>318</v>
      </c>
      <c r="D43" s="2055"/>
      <c r="E43" s="2951"/>
      <c r="F43" s="2951"/>
      <c r="G43" s="2950">
        <v>1</v>
      </c>
      <c r="H43" s="2055"/>
      <c r="I43" s="2055"/>
      <c r="J43" s="2055"/>
      <c r="K43" s="2055"/>
      <c r="L43" s="2056"/>
      <c r="M43" s="2057"/>
      <c r="N43" s="2057"/>
      <c r="O43" s="2057"/>
      <c r="P43" s="1046"/>
      <c r="Q43" s="1044"/>
      <c r="R43" s="1045"/>
      <c r="S43" s="2149" t="str">
        <f>INDEX(PT_DIFFERENTIATION_NUM_CS,MATCH(C43,PT_DIFFERENTIATION_CS_ID,0))</f>
        <v>..</v>
      </c>
      <c r="T43" s="1001" t="s">
        <v>555</v>
      </c>
      <c r="U43" s="992"/>
      <c r="V43" s="2934"/>
      <c r="W43" s="2935"/>
      <c r="X43" s="2935"/>
      <c r="Y43" s="2935"/>
      <c r="Z43" s="2935"/>
      <c r="AA43" s="2935"/>
      <c r="AB43" s="2936"/>
      <c r="AC43" s="2934" t="str">
        <f>INDEX(PT_DIFFERENTIATION_CS,MATCH(C43,PT_DIFFERENTIATION_CS_ID,0))</f>
        <v/>
      </c>
      <c r="AD43" s="2935"/>
      <c r="AE43" s="2935"/>
      <c r="AF43" s="2935"/>
      <c r="AG43" s="2935"/>
      <c r="AH43" s="2935"/>
      <c r="AI43" s="2935"/>
      <c r="AJ43" s="2936"/>
      <c r="AK43" s="1950" t="s">
        <v>556</v>
      </c>
      <c r="AM43" s="1192"/>
      <c r="AN43" s="1192" t="str">
        <f>IF(T43="","",T43)</f>
        <v>Наименование централизованной системы холодного водоснабжения</v>
      </c>
      <c r="AO43" s="1192"/>
      <c r="AP43" s="1192"/>
      <c r="AQ43" s="1847">
        <v>23</v>
      </c>
    </row>
    <row customHeight="1" ht="24">
      <c r="A44" s="2055" t="s">
        <v>316</v>
      </c>
      <c r="B44" s="2055" t="s">
        <v>317</v>
      </c>
      <c r="C44" s="2055" t="s">
        <v>318</v>
      </c>
      <c r="D44" s="2055" t="s">
        <v>572</v>
      </c>
      <c r="E44" s="2951"/>
      <c r="F44" s="2951"/>
      <c r="G44" s="2951"/>
      <c r="H44" s="2951"/>
      <c r="I44" s="2948" t="str">
        <f>S43&amp;".1"</f>
        <v>...1</v>
      </c>
      <c r="J44" s="2055"/>
      <c r="K44" s="2055"/>
      <c r="L44" s="2056"/>
      <c r="P44" s="2949">
        <v>1</v>
      </c>
      <c r="Q44" s="2142"/>
      <c r="R44" s="1048"/>
      <c r="S44" s="2149" t="str">
        <f>$I44</f>
        <v>...1</v>
      </c>
      <c r="T44" s="977" t="s">
        <v>557</v>
      </c>
      <c r="U44" s="992"/>
      <c r="V44" s="3042"/>
      <c r="W44" s="3043"/>
      <c r="X44" s="3043"/>
      <c r="Y44" s="3043"/>
      <c r="Z44" s="3043"/>
      <c r="AA44" s="3043"/>
      <c r="AB44" s="3044"/>
      <c r="AC44" s="3045"/>
      <c r="AD44" s="3046"/>
      <c r="AE44" s="3046"/>
      <c r="AF44" s="3046"/>
      <c r="AG44" s="3046"/>
      <c r="AH44" s="3046"/>
      <c r="AI44" s="3046"/>
      <c r="AJ44" s="3047"/>
      <c r="AK44" s="1950" t="s">
        <v>558</v>
      </c>
      <c r="AM44" s="1192"/>
      <c r="AN44" s="1192" t="str">
        <f>IF(T44="","",T44)</f>
        <v>Наименование признака дифференциации</v>
      </c>
      <c r="AO44" s="1192"/>
      <c r="AP44" s="1192"/>
      <c r="AQ44" s="1847">
        <v>23</v>
      </c>
    </row>
    <row customHeight="1" ht="24">
      <c r="A45" s="2055" t="s">
        <v>316</v>
      </c>
      <c r="B45" s="2055" t="s">
        <v>317</v>
      </c>
      <c r="C45" s="2055" t="s">
        <v>318</v>
      </c>
      <c r="D45" s="2055" t="s">
        <v>572</v>
      </c>
      <c r="E45" s="2951"/>
      <c r="F45" s="2951"/>
      <c r="G45" s="2951"/>
      <c r="H45" s="2951"/>
      <c r="I45" s="2978"/>
      <c r="J45" s="2948" t="str">
        <f>I44&amp;".1"</f>
        <v>...1.1</v>
      </c>
      <c r="K45" s="2055"/>
      <c r="L45" s="2056" t="s">
        <v>481</v>
      </c>
      <c r="P45" s="2949"/>
      <c r="Q45" s="2949">
        <v>1</v>
      </c>
      <c r="R45" s="1049"/>
      <c r="S45" s="2149" t="str">
        <f>$J45</f>
        <v>...1.1</v>
      </c>
      <c r="T45" s="978" t="s">
        <v>482</v>
      </c>
      <c r="U45" s="992"/>
      <c r="V45" s="2937"/>
      <c r="W45" s="2938"/>
      <c r="X45" s="2938"/>
      <c r="Y45" s="2938"/>
      <c r="Z45" s="2938"/>
      <c r="AA45" s="2938"/>
      <c r="AB45" s="2939"/>
      <c r="AC45" s="2937"/>
      <c r="AD45" s="2938"/>
      <c r="AE45" s="2938"/>
      <c r="AF45" s="2938"/>
      <c r="AG45" s="2938"/>
      <c r="AH45" s="2938"/>
      <c r="AI45" s="2938"/>
      <c r="AJ45" s="2939"/>
      <c r="AK45" s="1999" t="s">
        <v>559</v>
      </c>
      <c r="AM45" s="1192"/>
      <c r="AN45" s="1192" t="str">
        <f>IF(T45="","",T45)</f>
        <v>Группа потребителей</v>
      </c>
      <c r="AO45" s="1192"/>
      <c r="AP45" s="1192"/>
      <c r="AQ45" s="1847">
        <v>23</v>
      </c>
    </row>
    <row customHeight="1" ht="24">
      <c r="A46" s="2055" t="s">
        <v>316</v>
      </c>
      <c r="B46" s="2055" t="s">
        <v>317</v>
      </c>
      <c r="C46" s="2055" t="s">
        <v>318</v>
      </c>
      <c r="D46" s="2055" t="s">
        <v>572</v>
      </c>
      <c r="E46" s="2951"/>
      <c r="F46" s="2951"/>
      <c r="G46" s="2951"/>
      <c r="H46" s="2951"/>
      <c r="I46" s="2978"/>
      <c r="J46" s="2978"/>
      <c r="K46" s="2948" t="str">
        <f>J45&amp;".1"</f>
        <v>...1.1.1</v>
      </c>
      <c r="L46" s="2056"/>
      <c r="P46" s="2949"/>
      <c r="Q46" s="2949"/>
      <c r="R46" s="1049">
        <v>1</v>
      </c>
      <c r="S46" s="2149" t="str">
        <f>$K46</f>
        <v>...1.1.1</v>
      </c>
      <c r="T46" s="2129"/>
      <c r="U46" s="992"/>
      <c r="V46" s="1443"/>
      <c r="W46" s="1443"/>
      <c r="X46" s="1949"/>
      <c r="Y46" s="2957"/>
      <c r="Z46" s="2799" t="s">
        <v>67</v>
      </c>
      <c r="AA46" s="2957"/>
      <c r="AB46" s="2799" t="s">
        <v>67</v>
      </c>
      <c r="AC46" s="1443"/>
      <c r="AD46" s="1443"/>
      <c r="AE46" s="1949"/>
      <c r="AF46" s="2957"/>
      <c r="AG46" s="2799" t="s">
        <v>67</v>
      </c>
      <c r="AH46" s="2979"/>
      <c r="AI46" s="2799" t="s">
        <v>67</v>
      </c>
      <c r="AJ46" s="2130"/>
      <c r="AK46"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03">
        <f>STRCHECKDATE(V47:AJ47)</f>
      </c>
      <c r="AM46" s="1192"/>
      <c r="AN46" s="1192" t="str">
        <f>IF(T46="","",T46)</f>
        <v/>
      </c>
      <c r="AO46" s="1192"/>
      <c r="AP46" s="1192"/>
      <c r="AQ46" s="1847">
        <v>23</v>
      </c>
    </row>
    <row customHeight="1" ht="0">
      <c r="A47" s="2055" t="s">
        <v>316</v>
      </c>
      <c r="B47" s="2055" t="s">
        <v>317</v>
      </c>
      <c r="C47" s="2055" t="s">
        <v>318</v>
      </c>
      <c r="D47" s="2055" t="s">
        <v>572</v>
      </c>
      <c r="E47" s="2951"/>
      <c r="F47" s="2951"/>
      <c r="G47" s="2951"/>
      <c r="H47" s="2951"/>
      <c r="I47" s="2978"/>
      <c r="J47" s="2978"/>
      <c r="K47" s="2948"/>
      <c r="L47" s="2056"/>
      <c r="P47" s="2949"/>
      <c r="Q47" s="2949"/>
      <c r="R47" s="1049"/>
      <c r="S47" s="2148"/>
      <c r="T47" s="992"/>
      <c r="U47" s="992"/>
      <c r="V47" s="1017"/>
      <c r="W47" s="1017"/>
      <c r="X47" s="1020" t="str">
        <f>Y46&amp;"-"&amp;AA46</f>
        <v>-</v>
      </c>
      <c r="Y47" s="2958"/>
      <c r="Z47" s="2799"/>
      <c r="AA47" s="2958"/>
      <c r="AB47" s="2799"/>
      <c r="AC47" s="1017"/>
      <c r="AD47" s="1017"/>
      <c r="AE47" s="1020" t="str">
        <f>AF46&amp;"-"&amp;AH46</f>
        <v>-</v>
      </c>
      <c r="AF47" s="2958"/>
      <c r="AG47" s="2799"/>
      <c r="AH47" s="2980"/>
      <c r="AI47" s="2799"/>
      <c r="AJ47" s="2131"/>
      <c r="AK47" s="3041"/>
      <c r="AM47" s="1192"/>
      <c r="AN47" s="1192" t="str">
        <f>IF(T47="","",T47)</f>
        <v/>
      </c>
      <c r="AO47" s="1192"/>
      <c r="AP47" s="1192"/>
      <c r="AQ47" s="1847">
        <v>0</v>
      </c>
    </row>
    <row customHeight="1" ht="21">
      <c r="A48" s="2055" t="s">
        <v>316</v>
      </c>
      <c r="B48" s="2055" t="s">
        <v>317</v>
      </c>
      <c r="C48" s="2055" t="s">
        <v>318</v>
      </c>
      <c r="D48" s="2055" t="s">
        <v>572</v>
      </c>
      <c r="E48" s="2951"/>
      <c r="F48" s="2951"/>
      <c r="G48" s="2951"/>
      <c r="H48" s="2951"/>
      <c r="I48" s="2978"/>
      <c r="J48" s="2948"/>
      <c r="K48" s="2055"/>
      <c r="L48" s="2056"/>
      <c r="P48" s="2949"/>
      <c r="Q48" s="2949"/>
      <c r="R48" s="1048"/>
      <c r="S48" s="1970"/>
      <c r="T48" s="979" t="s">
        <v>560</v>
      </c>
      <c r="U48" s="1059"/>
      <c r="V48" s="1059"/>
      <c r="W48" s="1059"/>
      <c r="X48" s="1059"/>
      <c r="Y48" s="1059"/>
      <c r="Z48" s="1059"/>
      <c r="AA48" s="1059"/>
      <c r="AB48" s="1059"/>
      <c r="AC48" s="1059"/>
      <c r="AD48" s="1059"/>
      <c r="AE48" s="1059"/>
      <c r="AF48" s="1059"/>
      <c r="AG48" s="1059"/>
      <c r="AH48" s="1059"/>
      <c r="AI48" s="1059"/>
      <c r="AJ48" s="1059"/>
      <c r="AK48" s="1950" t="s">
        <v>561</v>
      </c>
      <c r="AM48" s="1192"/>
      <c r="AN48" s="1192" t="str">
        <f>IF(T48="","",T48)</f>
        <v>Добавить значение признака дифференциации</v>
      </c>
      <c r="AO48" s="1192"/>
      <c r="AP48" s="1192"/>
      <c r="AQ48" s="1847">
        <v>20</v>
      </c>
    </row>
    <row customHeight="1" ht="22.049999999999997">
      <c r="A49" s="2055" t="s">
        <v>316</v>
      </c>
      <c r="B49" s="2055" t="s">
        <v>317</v>
      </c>
      <c r="C49" s="2055" t="s">
        <v>318</v>
      </c>
      <c r="D49" s="2055" t="s">
        <v>572</v>
      </c>
      <c r="E49" s="2951"/>
      <c r="F49" s="2951"/>
      <c r="G49" s="2951"/>
      <c r="H49" s="2951"/>
      <c r="I49" s="2948"/>
      <c r="J49" s="2055"/>
      <c r="K49" s="2055"/>
      <c r="L49" s="2056"/>
      <c r="P49" s="2949"/>
      <c r="Q49" s="2142"/>
      <c r="R49" s="1048"/>
      <c r="S49" s="1970"/>
      <c r="T49" s="1057" t="s">
        <v>487</v>
      </c>
      <c r="U49" s="1059"/>
      <c r="V49" s="1059"/>
      <c r="W49" s="1059"/>
      <c r="X49" s="1059"/>
      <c r="Y49" s="1059"/>
      <c r="Z49" s="1059"/>
      <c r="AA49" s="1059"/>
      <c r="AB49" s="1058"/>
      <c r="AC49" s="1059"/>
      <c r="AD49" s="1059"/>
      <c r="AE49" s="1059"/>
      <c r="AF49" s="1059"/>
      <c r="AG49" s="1059"/>
      <c r="AH49" s="1059"/>
      <c r="AI49" s="1058"/>
      <c r="AJ49" s="1059"/>
      <c r="AK49" s="2132"/>
      <c r="AM49" s="1192"/>
      <c r="AN49" s="1192" t="str">
        <f>IF(T49="","",T49)</f>
        <v>Добавить группу потребителей</v>
      </c>
      <c r="AO49" s="1192"/>
      <c r="AP49" s="1192"/>
      <c r="AQ49" s="1847">
        <v>21</v>
      </c>
    </row>
    <row customHeight="1" ht="22.049999999999997">
      <c r="A50" s="2055" t="s">
        <v>316</v>
      </c>
      <c r="B50" s="2055" t="s">
        <v>317</v>
      </c>
      <c r="C50" s="2055" t="s">
        <v>318</v>
      </c>
      <c r="D50" s="2055" t="s">
        <v>572</v>
      </c>
      <c r="E50" s="2951"/>
      <c r="F50" s="2951"/>
      <c r="G50" s="2951"/>
      <c r="H50" s="2950"/>
      <c r="I50" s="2055"/>
      <c r="J50" s="2055"/>
      <c r="K50" s="2055"/>
      <c r="L50" s="2056"/>
      <c r="M50" s="2057"/>
      <c r="N50" s="2057"/>
      <c r="O50" s="1229"/>
      <c r="P50" s="1052"/>
      <c r="Q50" s="1067"/>
      <c r="R50" s="1047"/>
      <c r="S50" s="1970"/>
      <c r="T50" s="1064" t="s">
        <v>562</v>
      </c>
      <c r="U50" s="1059"/>
      <c r="V50" s="1059"/>
      <c r="W50" s="1059"/>
      <c r="X50" s="1059"/>
      <c r="Y50" s="1059"/>
      <c r="Z50" s="1059"/>
      <c r="AA50" s="1059"/>
      <c r="AB50" s="1058"/>
      <c r="AC50" s="1059"/>
      <c r="AD50" s="1059"/>
      <c r="AE50" s="1059"/>
      <c r="AF50" s="1059"/>
      <c r="AG50" s="1059"/>
      <c r="AH50" s="1059"/>
      <c r="AI50" s="1058"/>
      <c r="AJ50" s="1059"/>
      <c r="AK50" s="995"/>
      <c r="AM50" s="1192"/>
      <c r="AN50" s="1192" t="str">
        <f>IF(T50="","",T50)</f>
        <v>Добавить наименование признака дифференциации</v>
      </c>
      <c r="AO50" s="1192"/>
      <c r="AP50" s="1192"/>
      <c r="AQ50" s="1847">
        <v>21</v>
      </c>
    </row>
    <row s="61695" customFormat="1" customHeight="1" ht="0">
      <c r="A51" s="2035" t="s">
        <v>316</v>
      </c>
      <c r="B51" s="2035" t="s">
        <v>317</v>
      </c>
      <c r="C51" s="2006"/>
      <c r="D51" s="2006"/>
      <c r="E51" s="2951"/>
      <c r="F51" s="2950"/>
      <c r="G51" s="2006"/>
      <c r="H51" s="2006"/>
      <c r="I51" s="2006"/>
      <c r="J51" s="2006"/>
      <c r="K51" s="2006"/>
      <c r="L51" s="2150"/>
      <c r="M51" s="2013"/>
      <c r="N51" s="2013"/>
      <c r="P51" s="2008"/>
      <c r="Q51" s="2009"/>
      <c r="R51" s="2008"/>
      <c r="S51" s="2014"/>
      <c r="T51" s="2017" t="s">
        <v>172</v>
      </c>
      <c r="U51" s="2016"/>
      <c r="V51" s="2016"/>
      <c r="W51" s="2016"/>
      <c r="X51" s="2016"/>
      <c r="Y51" s="2016"/>
      <c r="Z51" s="2016"/>
      <c r="AA51" s="2016"/>
      <c r="AB51" s="2016"/>
      <c r="AC51" s="2016"/>
      <c r="AD51" s="2016"/>
      <c r="AE51" s="2016"/>
      <c r="AF51" s="2016"/>
      <c r="AG51" s="2016"/>
      <c r="AH51" s="2016"/>
      <c r="AI51" s="2016"/>
      <c r="AJ51" s="2016"/>
      <c r="AK51" s="2016"/>
      <c r="AM51" s="1481"/>
      <c r="AN51" s="1481" t="str">
        <f>IF(T51="","",T51)</f>
        <v>Добавить централизованную систему для дифференциации</v>
      </c>
      <c r="AO51" s="1481"/>
      <c r="AP51" s="1481"/>
      <c r="AQ51" s="1210">
        <v>0</v>
      </c>
    </row>
    <row s="61695" customFormat="1" customHeight="1" ht="0">
      <c r="A52" s="2035" t="s">
        <v>316</v>
      </c>
      <c r="B52" s="2035"/>
      <c r="C52" s="2035"/>
      <c r="D52" s="2035"/>
      <c r="E52" s="2950"/>
      <c r="F52" s="2035"/>
      <c r="G52" s="2035"/>
      <c r="H52" s="2035"/>
      <c r="I52" s="2035"/>
      <c r="J52" s="2035"/>
      <c r="K52" s="2035"/>
      <c r="L52" s="2038"/>
      <c r="M52" s="2013"/>
      <c r="N52" s="2013"/>
      <c r="O52" s="1210"/>
      <c r="P52" s="1072"/>
      <c r="Q52" s="2036"/>
      <c r="R52" s="1072"/>
      <c r="S52" s="2014"/>
      <c r="T52" s="2017" t="s">
        <v>173</v>
      </c>
      <c r="U52" s="2016"/>
      <c r="V52" s="2016"/>
      <c r="W52" s="2016"/>
      <c r="X52" s="2016"/>
      <c r="Y52" s="2016"/>
      <c r="Z52" s="2016"/>
      <c r="AA52" s="2016"/>
      <c r="AB52" s="2016"/>
      <c r="AC52" s="2016"/>
      <c r="AD52" s="2016"/>
      <c r="AE52" s="2016"/>
      <c r="AF52" s="2016"/>
      <c r="AG52" s="2016"/>
      <c r="AH52" s="2016"/>
      <c r="AI52" s="2016"/>
      <c r="AJ52" s="2016"/>
      <c r="AK52" s="2016"/>
      <c r="AM52" s="1192"/>
      <c r="AN52" s="1192" t="str">
        <f>IF(T52="","",T52)</f>
        <v>Добавить территорию для дифференциации</v>
      </c>
      <c r="AO52" s="1192"/>
      <c r="AP52" s="1192"/>
      <c r="AQ52" s="1203">
        <v>0</v>
      </c>
    </row>
    <row s="61695" customFormat="1" customHeight="1" ht="0">
      <c r="A53" s="2006"/>
      <c r="B53" s="2006"/>
      <c r="C53" s="2006"/>
      <c r="D53" s="2006"/>
      <c r="E53" s="2035"/>
      <c r="F53" s="2006"/>
      <c r="G53" s="2006"/>
      <c r="H53" s="2006"/>
      <c r="I53" s="2006"/>
      <c r="J53" s="2006"/>
      <c r="K53" s="2006"/>
      <c r="L53" s="2150"/>
      <c r="M53" s="2013"/>
      <c r="N53" s="2013"/>
      <c r="P53" s="2008"/>
      <c r="Q53" s="2009"/>
      <c r="R53" s="2008"/>
      <c r="S53" s="2014"/>
      <c r="T53" s="2017" t="s">
        <v>186</v>
      </c>
      <c r="U53" s="2016"/>
      <c r="V53" s="2016"/>
      <c r="W53" s="2016"/>
      <c r="X53" s="2016"/>
      <c r="Y53" s="2016"/>
      <c r="Z53" s="2016"/>
      <c r="AA53" s="2016"/>
      <c r="AB53" s="2016"/>
      <c r="AC53" s="2016"/>
      <c r="AD53" s="2016"/>
      <c r="AE53" s="2016"/>
      <c r="AF53" s="2016"/>
      <c r="AG53" s="2016"/>
      <c r="AH53" s="2016"/>
      <c r="AI53" s="2016"/>
      <c r="AJ53" s="2016"/>
      <c r="AK53" s="2016"/>
      <c r="AM53" s="1481"/>
      <c r="AN53" s="1481" t="str">
        <f>IF(T53="","",T53)</f>
        <v>Добавить наименование тарифа</v>
      </c>
      <c r="AO53" s="1481"/>
      <c r="AP53" s="1481"/>
      <c r="AQ53" s="1210">
        <v>0</v>
      </c>
    </row>
    <row customHeight="1" ht="11.549999999999999">
      <c r="M54" s="1852"/>
      <c r="N54" s="1852"/>
      <c r="O54" s="1229"/>
      <c r="P54" s="1847"/>
      <c r="Q54" s="1847"/>
      <c r="R54" s="1847"/>
      <c r="S54" s="1847"/>
      <c r="AL54" s="1847"/>
      <c r="AM54" s="1847"/>
      <c r="AN54" s="1847"/>
      <c r="AO54" s="1847"/>
      <c r="AP54" s="1847"/>
      <c r="AQ54" s="1847">
        <v>11</v>
      </c>
    </row>
    <row customHeight="1" ht="14.699999999999998">
      <c r="O55" s="1229"/>
      <c r="S55" s="1945"/>
      <c r="T55" s="2977"/>
      <c r="U55" s="2977"/>
      <c r="V55" s="2977"/>
      <c r="W55" s="2977"/>
      <c r="X55" s="2977"/>
      <c r="Y55" s="2977"/>
      <c r="Z55" s="2977"/>
      <c r="AA55" s="2977"/>
      <c r="AB55" s="2977"/>
      <c r="AC55" s="2977"/>
      <c r="AD55" s="2977"/>
      <c r="AE55" s="2977"/>
      <c r="AF55" s="2977"/>
      <c r="AG55" s="2977"/>
      <c r="AH55" s="2977"/>
      <c r="AI55" s="2977"/>
      <c r="AJ55" s="2977"/>
      <c r="AK55" s="2977"/>
      <c r="AQ55" s="1847">
        <v>14</v>
      </c>
    </row>
    <row customHeight="1" ht="14.699999999999998">
      <c r="O56" s="1229"/>
      <c r="AQ56" s="1847">
        <v>14</v>
      </c>
    </row>
    <row customHeight="1" ht="14.699999999999998">
      <c r="O57" s="1229"/>
      <c r="S57" s="1945"/>
      <c r="T57" s="2977"/>
      <c r="U57" s="2977"/>
      <c r="V57" s="2977"/>
      <c r="W57" s="2977"/>
      <c r="X57" s="2977"/>
      <c r="Y57" s="2977"/>
      <c r="Z57" s="2977"/>
      <c r="AA57" s="2977"/>
      <c r="AB57" s="2977"/>
      <c r="AC57" s="2977"/>
      <c r="AD57" s="2977"/>
      <c r="AE57" s="2977"/>
      <c r="AF57" s="2977"/>
      <c r="AG57" s="2977"/>
      <c r="AH57" s="2977"/>
      <c r="AI57" s="2977"/>
      <c r="AJ57" s="2977"/>
      <c r="AK57" s="2977"/>
      <c r="AQ57" s="1847">
        <v>14</v>
      </c>
    </row>
    <row customHeight="1" ht="22.5" hidden="1">
      <c r="A58" s="1852" t="s">
        <v>83</v>
      </c>
      <c r="B58" s="1852">
        <v>0</v>
      </c>
      <c r="C58" s="1852">
        <v>0</v>
      </c>
      <c r="D58" s="1852">
        <v>0</v>
      </c>
      <c r="E58" s="1852">
        <v>0</v>
      </c>
      <c r="F58" s="1852">
        <v>0</v>
      </c>
      <c r="G58" s="1852">
        <v>0</v>
      </c>
      <c r="H58" s="1852">
        <v>0</v>
      </c>
      <c r="I58" s="1852">
        <v>0</v>
      </c>
      <c r="J58" s="1852">
        <v>0</v>
      </c>
      <c r="K58" s="1852">
        <v>0</v>
      </c>
      <c r="L58" s="2139">
        <v>0</v>
      </c>
      <c r="M58" s="2054">
        <v>0</v>
      </c>
      <c r="N58" s="2054">
        <v>0</v>
      </c>
      <c r="O58" s="2054">
        <v>0</v>
      </c>
      <c r="P58" s="2138">
        <v>3</v>
      </c>
      <c r="Q58" s="1036">
        <v>3</v>
      </c>
      <c r="R58" s="1036">
        <v>3</v>
      </c>
      <c r="S58" s="1273">
        <v>12</v>
      </c>
      <c r="T58" s="1847">
        <v>35</v>
      </c>
      <c r="U58" s="1847">
        <v>0</v>
      </c>
      <c r="V58" s="1847">
        <v>0</v>
      </c>
      <c r="W58" s="1847">
        <v>0</v>
      </c>
      <c r="X58" s="1847">
        <v>0</v>
      </c>
      <c r="Y58" s="1847">
        <v>0</v>
      </c>
      <c r="Z58" s="1847">
        <v>0</v>
      </c>
      <c r="AA58" s="1847">
        <v>0</v>
      </c>
      <c r="AB58" s="1847">
        <v>0</v>
      </c>
      <c r="AC58" s="1847">
        <v>24</v>
      </c>
      <c r="AD58" s="1847">
        <v>24</v>
      </c>
      <c r="AE58" s="1847">
        <v>24</v>
      </c>
      <c r="AF58" s="1847">
        <v>11</v>
      </c>
      <c r="AG58" s="1847">
        <v>3</v>
      </c>
      <c r="AH58" s="1847">
        <v>11</v>
      </c>
      <c r="AI58" s="1847">
        <v>0</v>
      </c>
      <c r="AJ58" s="1847">
        <v>4</v>
      </c>
      <c r="AK58" s="1847">
        <v>115</v>
      </c>
      <c r="AL58" s="1203">
        <v>10</v>
      </c>
      <c r="AM58" s="1203">
        <v>10</v>
      </c>
      <c r="AN58" s="1203">
        <v>10</v>
      </c>
      <c r="AO58" s="1203">
        <v>10</v>
      </c>
      <c r="AP58" s="1203">
        <v>10</v>
      </c>
      <c r="AQ58" s="184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5FDF0F-3EB9-A7AA-2308-C671A021008A}"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62286" width="10.140625" hidden="1" customWidth="1"/>
    <col min="4" max="4" style="62286" width="11.8515625" hidden="1" customWidth="1"/>
    <col min="5" max="11" style="62286" width="10.140625" hidden="1" customWidth="1"/>
    <col min="12" max="12" style="63163" width="10.140625" hidden="1" customWidth="1"/>
    <col min="13" max="15" style="63184" width="10.140625" hidden="1" customWidth="1"/>
    <col min="16" max="16" style="61371" width="3.00390625" customWidth="1"/>
    <col min="17" max="17" style="61437" width="3.00390625" customWidth="1"/>
    <col min="18" max="18" style="62288" width="3.00390625" customWidth="1"/>
    <col min="19" max="19" style="63156" width="12.00390625" customWidth="1"/>
    <col min="20" max="20" style="62286" width="31.00390625" customWidth="1"/>
    <col min="21" max="21" style="62286" width="0.140625" customWidth="1"/>
    <col min="22" max="23" style="62286" width="21.7109375" hidden="1" customWidth="1"/>
    <col min="24" max="24" style="62286" width="11.7109375" hidden="1" customWidth="1"/>
    <col min="25" max="25" style="62286" width="3.7109375" hidden="1" customWidth="1"/>
    <col min="26" max="26" style="62286" width="11.7109375" hidden="1" customWidth="1"/>
    <col min="27" max="27" style="62286" width="8.57421875" hidden="1" customWidth="1"/>
    <col min="28" max="28" style="62286" width="27.00390625" customWidth="1"/>
    <col min="29" max="29" style="62286" width="24.57421875" customWidth="1"/>
    <col min="30" max="31" style="62286" width="21.00390625" customWidth="1"/>
    <col min="32" max="32" style="62286" width="11.00390625" customWidth="1"/>
    <col min="33" max="33" style="62286" width="3.7109375" customWidth="1"/>
    <col min="34" max="34" style="62286" width="11.00390625" customWidth="1"/>
    <col min="35" max="35" style="62286" width="8.57421875" hidden="1" customWidth="1"/>
    <col min="36" max="36" style="62286" width="4.00390625" customWidth="1"/>
    <col min="37" max="37" style="62286" width="115.00390625" customWidth="1"/>
    <col min="38" max="42" style="61695" width="10.00390625" customWidth="1"/>
    <col min="43" max="43" style="62286" width="10.57421875" hidden="1"/>
  </cols>
  <sheetData>
    <row customHeight="1" ht="0.75" hidden="1">
      <c r="AQ1" s="2323" t="s">
        <v>14</v>
      </c>
    </row>
    <row customHeight="1" ht="21" hidden="1">
      <c r="A2" s="1959"/>
      <c r="B2" s="1959"/>
      <c r="C2" s="1959"/>
      <c r="D2" s="1959"/>
      <c r="E2" s="2981">
        <v>1</v>
      </c>
      <c r="F2" s="1959"/>
      <c r="G2" s="1959"/>
      <c r="H2" s="1959"/>
      <c r="I2" s="1959"/>
      <c r="J2" s="1959"/>
      <c r="K2" s="1959"/>
      <c r="L2" s="2002"/>
      <c r="M2" s="2302"/>
      <c r="N2" s="2302"/>
      <c r="O2" s="2302"/>
      <c r="P2" s="2101"/>
      <c r="Q2" s="1565"/>
      <c r="R2" s="1047"/>
      <c r="S2" s="2650">
        <f>INDEX(PT_DIFFERENTIATION_NUM_NTAR,MATCH(A2,PT_DIFFERENTIATION_NTAR_ID,0))</f>
      </c>
      <c r="T2" s="2217" t="s">
        <v>131</v>
      </c>
      <c r="U2" s="992"/>
      <c r="V2" s="2935"/>
      <c r="W2" s="2935"/>
      <c r="X2" s="2935"/>
      <c r="Y2" s="2935"/>
      <c r="Z2" s="2935"/>
      <c r="AA2" s="2936"/>
      <c r="AB2" s="2644"/>
      <c r="AC2" s="2935">
        <f>INDEX(PT_DIFFERENTIATION_NTAR,MATCH(A2,PT_DIFFERENTIATION_NTAR_ID,0))</f>
      </c>
      <c r="AD2" s="2935"/>
      <c r="AE2" s="2935"/>
      <c r="AF2" s="2935"/>
      <c r="AG2" s="2935"/>
      <c r="AH2" s="2935"/>
      <c r="AI2" s="2935"/>
      <c r="AJ2" s="2936"/>
      <c r="AK2" s="1950" t="s">
        <v>471</v>
      </c>
      <c r="AM2" s="2316"/>
      <c r="AN2" s="2316" t="str">
        <f>IF(T2="","",T2)</f>
        <v>Наименование тарифа</v>
      </c>
      <c r="AO2" s="2316"/>
      <c r="AP2" s="2316"/>
      <c r="AQ2" s="2323">
        <v>0</v>
      </c>
    </row>
    <row customHeight="1" ht="21" hidden="1">
      <c r="A3" s="1959"/>
      <c r="B3" s="1959"/>
      <c r="C3" s="1959"/>
      <c r="D3" s="1959"/>
      <c r="E3" s="2982"/>
      <c r="F3" s="2981">
        <v>1</v>
      </c>
      <c r="G3" s="1959"/>
      <c r="H3" s="1959"/>
      <c r="I3" s="1959"/>
      <c r="J3" s="1959"/>
      <c r="K3" s="1959"/>
      <c r="L3" s="2002"/>
      <c r="M3" s="2302"/>
      <c r="N3" s="2302"/>
      <c r="O3" s="2302"/>
      <c r="P3" s="2661"/>
      <c r="Q3" s="2103"/>
      <c r="R3" s="1045"/>
      <c r="S3" s="2650">
        <f>INDEX(PT_DIFFERENTIATION_NUM_TER,MATCH(B3,PT_DIFFERENTIATION_TER_ID,0))</f>
      </c>
      <c r="T3" s="2214" t="s">
        <v>472</v>
      </c>
      <c r="U3" s="992"/>
      <c r="V3" s="2935"/>
      <c r="W3" s="2935"/>
      <c r="X3" s="2935"/>
      <c r="Y3" s="2935"/>
      <c r="Z3" s="2935"/>
      <c r="AA3" s="2936"/>
      <c r="AB3" s="2644"/>
      <c r="AC3" s="2935">
        <f>INDEX(PT_DIFFERENTIATION_TER,MATCH(B3,PT_DIFFERENTIATION_TER_ID,0))</f>
      </c>
      <c r="AD3" s="2935"/>
      <c r="AE3" s="2935"/>
      <c r="AF3" s="2935"/>
      <c r="AG3" s="2935"/>
      <c r="AH3" s="2935"/>
      <c r="AI3" s="2935"/>
      <c r="AJ3" s="2936"/>
      <c r="AK3" s="1950" t="s">
        <v>473</v>
      </c>
      <c r="AM3" s="2316"/>
      <c r="AN3" s="2316" t="str">
        <f>IF(T3="","",T3)</f>
        <v>Территория действия тарифа</v>
      </c>
      <c r="AO3" s="2316"/>
      <c r="AP3" s="2316"/>
      <c r="AQ3" s="2323">
        <v>0</v>
      </c>
    </row>
    <row customHeight="1" ht="22.5" hidden="1">
      <c r="A4" s="1959"/>
      <c r="B4" s="1959"/>
      <c r="C4" s="1959"/>
      <c r="D4" s="1959"/>
      <c r="E4" s="2982"/>
      <c r="F4" s="2982"/>
      <c r="G4" s="2981">
        <v>1</v>
      </c>
      <c r="H4" s="1959"/>
      <c r="I4" s="1959"/>
      <c r="J4" s="1959"/>
      <c r="K4" s="1959"/>
      <c r="L4" s="2002"/>
      <c r="M4" s="2302"/>
      <c r="N4" s="2302"/>
      <c r="O4" s="2302"/>
      <c r="P4" s="2104"/>
      <c r="Q4" s="2103"/>
      <c r="R4" s="1045"/>
      <c r="S4" s="2650">
        <f>INDEX(PT_DIFFERENTIATION_NUM_CS,MATCH(C4,PT_DIFFERENTIATION_CS_ID,0))</f>
      </c>
      <c r="T4" s="1001" t="s">
        <v>474</v>
      </c>
      <c r="U4" s="992"/>
      <c r="V4" s="2935"/>
      <c r="W4" s="2935"/>
      <c r="X4" s="2935"/>
      <c r="Y4" s="2935"/>
      <c r="Z4" s="2935"/>
      <c r="AA4" s="2936"/>
      <c r="AB4" s="2644"/>
      <c r="AC4" s="2935">
        <f>INDEX(PT_DIFFERENTIATION_CS,MATCH(C4,PT_DIFFERENTIATION_CS_ID,0))</f>
      </c>
      <c r="AD4" s="2935"/>
      <c r="AE4" s="2935"/>
      <c r="AF4" s="2935"/>
      <c r="AG4" s="2935"/>
      <c r="AH4" s="2935"/>
      <c r="AI4" s="2935"/>
      <c r="AJ4" s="2936"/>
      <c r="AK4" s="1950" t="s">
        <v>475</v>
      </c>
      <c r="AM4" s="2316"/>
      <c r="AN4" s="2316" t="str">
        <f>IF(T4="","",T4)</f>
        <v>Наименование системы теплоснабжения </v>
      </c>
      <c r="AO4" s="2316"/>
      <c r="AP4" s="2316"/>
      <c r="AQ4" s="2323">
        <v>0</v>
      </c>
    </row>
    <row customHeight="1" ht="21" hidden="1">
      <c r="A5" s="1959"/>
      <c r="B5" s="1959"/>
      <c r="C5" s="1959"/>
      <c r="D5" s="1959"/>
      <c r="E5" s="2982"/>
      <c r="F5" s="2982"/>
      <c r="G5" s="2982"/>
      <c r="H5" s="2981">
        <v>1</v>
      </c>
      <c r="I5" s="1959"/>
      <c r="J5" s="1959"/>
      <c r="K5" s="1959"/>
      <c r="L5" s="2002"/>
      <c r="M5" s="2302"/>
      <c r="N5" s="2302"/>
      <c r="O5" s="2302"/>
      <c r="P5" s="2104"/>
      <c r="Q5" s="2103"/>
      <c r="R5" s="1045"/>
      <c r="S5" s="2650">
        <f>INDEX(PT_DIFFERENTIATION_NUM_IST_TE,MATCH(D5,PT_DIFFERENTIATION_IST_TE_ID,0))</f>
      </c>
      <c r="T5" s="1002" t="s">
        <v>476</v>
      </c>
      <c r="U5" s="992"/>
      <c r="V5" s="2935"/>
      <c r="W5" s="2935"/>
      <c r="X5" s="2935"/>
      <c r="Y5" s="2935"/>
      <c r="Z5" s="2935"/>
      <c r="AA5" s="2936"/>
      <c r="AB5" s="2644"/>
      <c r="AC5" s="2935">
        <f>INDEX(PT_DIFFERENTIATION_IST_TE,MATCH(D5,PT_DIFFERENTIATION_IST_TE_ID,0))</f>
      </c>
      <c r="AD5" s="2935"/>
      <c r="AE5" s="2935"/>
      <c r="AF5" s="2935"/>
      <c r="AG5" s="2935"/>
      <c r="AH5" s="2935"/>
      <c r="AI5" s="2935"/>
      <c r="AJ5" s="2936"/>
      <c r="AK5" s="1950" t="s">
        <v>477</v>
      </c>
      <c r="AM5" s="2316"/>
      <c r="AN5" s="2316" t="str">
        <f>IF(T5="","",T5)</f>
        <v>Источник тепловой энергии  </v>
      </c>
      <c r="AO5" s="2316"/>
      <c r="AP5" s="2316"/>
      <c r="AQ5" s="2323">
        <v>0</v>
      </c>
    </row>
    <row s="61695" customFormat="1" customHeight="1" ht="0.75" hidden="1">
      <c r="A6" s="2067"/>
      <c r="B6" s="2067"/>
      <c r="C6" s="2067"/>
      <c r="D6" s="2067"/>
      <c r="E6" s="2982"/>
      <c r="F6" s="2982"/>
      <c r="G6" s="2982"/>
      <c r="H6" s="2982"/>
      <c r="I6" s="2819">
        <f>S5&amp;".1"</f>
      </c>
      <c r="J6" s="2067"/>
      <c r="K6" s="2067"/>
      <c r="L6" s="2073" t="s">
        <v>478</v>
      </c>
      <c r="M6" s="1938"/>
      <c r="N6" s="1938"/>
      <c r="O6" s="1938"/>
      <c r="P6" s="2949">
        <v>1</v>
      </c>
      <c r="Q6" s="2646"/>
      <c r="R6" s="1048"/>
      <c r="S6" s="1734"/>
      <c r="T6" s="2075"/>
      <c r="U6" s="2076"/>
      <c r="V6" s="2989"/>
      <c r="W6" s="2989"/>
      <c r="X6" s="2989"/>
      <c r="Y6" s="2989"/>
      <c r="Z6" s="2989"/>
      <c r="AA6" s="2990"/>
      <c r="AB6" s="2652"/>
      <c r="AC6" s="2989"/>
      <c r="AD6" s="2989"/>
      <c r="AE6" s="2989"/>
      <c r="AF6" s="2989"/>
      <c r="AG6" s="2989"/>
      <c r="AH6" s="2989"/>
      <c r="AI6" s="2989"/>
      <c r="AJ6" s="2990"/>
      <c r="AK6" s="2077"/>
      <c r="AM6" s="2316"/>
      <c r="AN6" s="2316" t="str">
        <f>IF(T6="","",T6)</f>
        <v/>
      </c>
      <c r="AO6" s="2316"/>
      <c r="AP6" s="2316"/>
      <c r="AQ6" s="2328">
        <v>0</v>
      </c>
    </row>
    <row s="61695" customFormat="1" customHeight="1" ht="0.75" hidden="1">
      <c r="A7" s="2067"/>
      <c r="B7" s="2067"/>
      <c r="C7" s="2067"/>
      <c r="D7" s="2067"/>
      <c r="E7" s="2982"/>
      <c r="F7" s="2982"/>
      <c r="G7" s="2982"/>
      <c r="H7" s="2982"/>
      <c r="I7" s="2793"/>
      <c r="J7" s="2819">
        <f>S5&amp;".1"</f>
      </c>
      <c r="K7" s="2067"/>
      <c r="L7" s="2073"/>
      <c r="M7" s="1938"/>
      <c r="N7" s="1938"/>
      <c r="O7" s="1938"/>
      <c r="P7" s="2949"/>
      <c r="Q7" s="2949">
        <v>1</v>
      </c>
      <c r="R7" s="1049"/>
      <c r="S7" s="1734"/>
      <c r="T7" s="2091"/>
      <c r="U7" s="2076"/>
      <c r="V7" s="2989"/>
      <c r="W7" s="2989"/>
      <c r="X7" s="2989"/>
      <c r="Y7" s="2989"/>
      <c r="Z7" s="2989"/>
      <c r="AA7" s="2990"/>
      <c r="AB7" s="2652"/>
      <c r="AC7" s="2989"/>
      <c r="AD7" s="2989"/>
      <c r="AE7" s="2989"/>
      <c r="AF7" s="2989"/>
      <c r="AG7" s="2989"/>
      <c r="AH7" s="2989"/>
      <c r="AI7" s="2989"/>
      <c r="AJ7" s="2990"/>
      <c r="AK7" s="2077"/>
      <c r="AM7" s="2316"/>
      <c r="AN7" s="2316" t="str">
        <f>IF(T7="","",T7)</f>
        <v/>
      </c>
      <c r="AO7" s="2316"/>
      <c r="AP7" s="2316"/>
      <c r="AQ7" s="2328">
        <v>0</v>
      </c>
    </row>
    <row customHeight="1" ht="21" hidden="1">
      <c r="A8" s="1959"/>
      <c r="B8" s="1959"/>
      <c r="C8" s="1959"/>
      <c r="D8" s="1959"/>
      <c r="E8" s="2982"/>
      <c r="F8" s="2982"/>
      <c r="G8" s="2982"/>
      <c r="H8" s="2982"/>
      <c r="I8" s="2793"/>
      <c r="J8" s="2793"/>
      <c r="K8" s="2683">
        <f>S5&amp;".1"</f>
      </c>
      <c r="L8" s="2002"/>
      <c r="P8" s="2949"/>
      <c r="Q8" s="2949"/>
      <c r="R8" s="2687">
        <v>1</v>
      </c>
      <c r="S8" s="2685">
        <f>$K8</f>
      </c>
      <c r="T8" s="2686"/>
      <c r="U8" s="992"/>
      <c r="V8" s="1443"/>
      <c r="W8" s="1949"/>
      <c r="X8" s="2684"/>
      <c r="Y8" s="2682" t="s">
        <v>67</v>
      </c>
      <c r="Z8" s="2684"/>
      <c r="AA8" s="2682" t="s">
        <v>67</v>
      </c>
      <c r="AB8" s="2688"/>
      <c r="AC8" s="2689" t="s">
        <v>28</v>
      </c>
      <c r="AD8" s="1443"/>
      <c r="AE8" s="1949"/>
      <c r="AF8" s="2647"/>
      <c r="AG8" s="2634" t="s">
        <v>67</v>
      </c>
      <c r="AH8" s="2647"/>
      <c r="AI8" s="2634" t="s">
        <v>67</v>
      </c>
      <c r="AJ8" s="2040"/>
      <c r="AK8" s="2945" t="s">
        <v>538</v>
      </c>
      <c r="AL8" s="2328">
        <f>STRCHECKDATE(#REF!)</f>
      </c>
      <c r="AM8" s="2316"/>
      <c r="AN8" s="2316" t="str">
        <f>IF(T8="","",T8)</f>
        <v/>
      </c>
      <c r="AO8" s="2316"/>
      <c r="AP8" s="2316"/>
      <c r="AQ8" s="2323">
        <v>0</v>
      </c>
    </row>
    <row customHeight="1" ht="11.25" hidden="1">
      <c r="A9" s="1959"/>
      <c r="B9" s="1959"/>
      <c r="C9" s="1959"/>
      <c r="D9" s="1959"/>
      <c r="E9" s="2982"/>
      <c r="F9" s="2982"/>
      <c r="G9" s="2982"/>
      <c r="H9" s="2982"/>
      <c r="I9" s="2793"/>
      <c r="J9" s="2819"/>
      <c r="K9" s="1959"/>
      <c r="L9" s="2002"/>
      <c r="P9" s="2949"/>
      <c r="Q9" s="2949"/>
      <c r="R9" s="1048"/>
      <c r="S9" s="1970"/>
      <c r="T9" s="979" t="s">
        <v>542</v>
      </c>
      <c r="U9" s="1292"/>
      <c r="V9" s="1292"/>
      <c r="W9" s="1292"/>
      <c r="X9" s="1292"/>
      <c r="Y9" s="1292"/>
      <c r="Z9" s="1292"/>
      <c r="AA9" s="1292"/>
      <c r="AB9" s="1292"/>
      <c r="AC9" s="1292"/>
      <c r="AD9" s="1292"/>
      <c r="AE9" s="1292"/>
      <c r="AF9" s="1292"/>
      <c r="AG9" s="1292"/>
      <c r="AH9" s="1292"/>
      <c r="AI9" s="1292"/>
      <c r="AJ9" s="1016"/>
      <c r="AK9" s="2947"/>
      <c r="AM9" s="2316"/>
      <c r="AN9" s="2316" t="str">
        <f>IF(T9="","",T9)</f>
        <v>Добавить строку</v>
      </c>
      <c r="AO9" s="2316"/>
      <c r="AP9" s="2316"/>
      <c r="AQ9" s="2323">
        <v>0</v>
      </c>
    </row>
    <row s="61695" customFormat="1" customHeight="1" ht="0.75" hidden="1">
      <c r="A10" s="2067"/>
      <c r="B10" s="2067"/>
      <c r="C10" s="2067"/>
      <c r="D10" s="2067"/>
      <c r="E10" s="2982"/>
      <c r="F10" s="2982"/>
      <c r="G10" s="2982"/>
      <c r="H10" s="2982"/>
      <c r="I10" s="2819"/>
      <c r="J10" s="2067"/>
      <c r="K10" s="2067"/>
      <c r="L10" s="2073"/>
      <c r="M10" s="1938"/>
      <c r="N10" s="1938"/>
      <c r="O10" s="1938"/>
      <c r="P10" s="2949"/>
      <c r="Q10" s="2646"/>
      <c r="R10" s="1048"/>
      <c r="S10" s="2078"/>
      <c r="T10" s="2079"/>
      <c r="U10" s="2080"/>
      <c r="V10" s="2080"/>
      <c r="W10" s="2080"/>
      <c r="X10" s="2080"/>
      <c r="Y10" s="2080"/>
      <c r="Z10" s="2080"/>
      <c r="AA10" s="2080"/>
      <c r="AB10" s="2080"/>
      <c r="AC10" s="2080"/>
      <c r="AD10" s="2080"/>
      <c r="AE10" s="2080"/>
      <c r="AF10" s="2080"/>
      <c r="AG10" s="2080"/>
      <c r="AH10" s="2080"/>
      <c r="AI10" s="2080"/>
      <c r="AJ10" s="2080"/>
      <c r="AK10" s="2081"/>
      <c r="AM10" s="2316"/>
      <c r="AN10" s="2316" t="str">
        <f>IF(T10="","",T10)</f>
        <v/>
      </c>
      <c r="AO10" s="2316"/>
      <c r="AP10" s="2316"/>
      <c r="AQ10" s="2328">
        <v>0</v>
      </c>
    </row>
    <row s="61695" customFormat="1" customHeight="1" ht="0.75" hidden="1">
      <c r="A11" s="2067"/>
      <c r="B11" s="2067"/>
      <c r="C11" s="2067"/>
      <c r="D11" s="2067"/>
      <c r="E11" s="2982"/>
      <c r="F11" s="2982"/>
      <c r="G11" s="2982"/>
      <c r="H11" s="2981"/>
      <c r="I11" s="2067"/>
      <c r="J11" s="2067"/>
      <c r="K11" s="2067"/>
      <c r="L11" s="2073"/>
      <c r="M11" s="2070"/>
      <c r="N11" s="2070"/>
      <c r="O11" s="1043"/>
      <c r="P11" s="1072"/>
      <c r="Q11" s="2036"/>
      <c r="R11" s="2093"/>
      <c r="S11" s="2078"/>
      <c r="T11" s="2079"/>
      <c r="U11" s="2080"/>
      <c r="V11" s="2080"/>
      <c r="W11" s="2080"/>
      <c r="X11" s="2080"/>
      <c r="Y11" s="2080"/>
      <c r="Z11" s="2080"/>
      <c r="AA11" s="2080"/>
      <c r="AB11" s="2080"/>
      <c r="AC11" s="2080"/>
      <c r="AD11" s="2080"/>
      <c r="AE11" s="2080"/>
      <c r="AF11" s="2080"/>
      <c r="AG11" s="2080"/>
      <c r="AH11" s="2080"/>
      <c r="AI11" s="2080"/>
      <c r="AJ11" s="2080"/>
      <c r="AK11" s="2081"/>
      <c r="AM11" s="2316"/>
      <c r="AN11" s="2316" t="str">
        <f>IF(T11="","",T11)</f>
        <v/>
      </c>
      <c r="AO11" s="2316"/>
      <c r="AP11" s="2316"/>
      <c r="AQ11" s="2328">
        <v>0</v>
      </c>
    </row>
    <row s="61695" customFormat="1" customHeight="1" ht="0.75" hidden="1">
      <c r="A12" s="2067"/>
      <c r="B12" s="2067"/>
      <c r="C12" s="2067"/>
      <c r="D12" s="2066"/>
      <c r="E12" s="2982"/>
      <c r="F12" s="2982"/>
      <c r="G12" s="2981"/>
      <c r="H12" s="2066"/>
      <c r="I12" s="2066"/>
      <c r="J12" s="2066"/>
      <c r="K12" s="2066"/>
      <c r="L12" s="2069"/>
      <c r="M12" s="2070"/>
      <c r="N12" s="2070"/>
      <c r="O12" s="1043"/>
      <c r="P12" s="2008"/>
      <c r="Q12" s="2009"/>
      <c r="R12" s="2008"/>
      <c r="S12" s="2014"/>
      <c r="T12" s="2017" t="s">
        <v>171</v>
      </c>
      <c r="U12" s="2016"/>
      <c r="V12" s="2016"/>
      <c r="W12" s="2016"/>
      <c r="X12" s="2016"/>
      <c r="Y12" s="2016"/>
      <c r="Z12" s="2016"/>
      <c r="AA12" s="2016"/>
      <c r="AB12" s="2016"/>
      <c r="AC12" s="2016"/>
      <c r="AD12" s="2016"/>
      <c r="AE12" s="2016"/>
      <c r="AF12" s="2016"/>
      <c r="AG12" s="2016"/>
      <c r="AH12" s="2016"/>
      <c r="AI12" s="2016"/>
      <c r="AJ12" s="2016"/>
      <c r="AK12" s="2016"/>
      <c r="AM12" s="1943"/>
      <c r="AN12" s="1943" t="str">
        <f>IF(T12="","",T12)</f>
        <v>Добавить источник для дифференциации</v>
      </c>
      <c r="AO12" s="1943"/>
      <c r="AP12" s="1943"/>
      <c r="AQ12" s="2334">
        <v>0</v>
      </c>
    </row>
    <row s="61695" customFormat="1" customHeight="1" ht="0.75" hidden="1">
      <c r="A13" s="2067"/>
      <c r="B13" s="2067"/>
      <c r="C13" s="2066"/>
      <c r="D13" s="2066"/>
      <c r="E13" s="2982"/>
      <c r="F13" s="2981"/>
      <c r="G13" s="2066"/>
      <c r="H13" s="2066"/>
      <c r="I13" s="2066"/>
      <c r="J13" s="2066"/>
      <c r="K13" s="2066"/>
      <c r="L13" s="2069"/>
      <c r="M13" s="2071"/>
      <c r="N13" s="2071"/>
      <c r="O13" s="1043"/>
      <c r="P13" s="2008"/>
      <c r="Q13" s="2009"/>
      <c r="R13" s="2008"/>
      <c r="S13" s="2014"/>
      <c r="T13" s="2017" t="s">
        <v>172</v>
      </c>
      <c r="U13" s="2016"/>
      <c r="V13" s="2016"/>
      <c r="W13" s="2016"/>
      <c r="X13" s="2016"/>
      <c r="Y13" s="2016"/>
      <c r="Z13" s="2016"/>
      <c r="AA13" s="2016"/>
      <c r="AB13" s="2016"/>
      <c r="AC13" s="2016"/>
      <c r="AD13" s="2016"/>
      <c r="AE13" s="2016"/>
      <c r="AF13" s="2016"/>
      <c r="AG13" s="2016"/>
      <c r="AH13" s="2016"/>
      <c r="AI13" s="2016"/>
      <c r="AJ13" s="2016"/>
      <c r="AK13" s="2016"/>
      <c r="AM13" s="1943"/>
      <c r="AN13" s="1943" t="str">
        <f>IF(T13="","",T13)</f>
        <v>Добавить централизованную систему для дифференциации</v>
      </c>
      <c r="AO13" s="1943"/>
      <c r="AP13" s="1943"/>
      <c r="AQ13" s="2334">
        <v>0</v>
      </c>
    </row>
    <row s="61695" customFormat="1" customHeight="1" ht="0.75" hidden="1">
      <c r="A14" s="2067"/>
      <c r="B14" s="2067"/>
      <c r="C14" s="2067"/>
      <c r="D14" s="2067"/>
      <c r="E14" s="2981"/>
      <c r="F14" s="2067"/>
      <c r="G14" s="2067"/>
      <c r="H14" s="2067"/>
      <c r="I14" s="2067"/>
      <c r="J14" s="2067"/>
      <c r="K14" s="2067"/>
      <c r="L14" s="2073"/>
      <c r="M14" s="2071"/>
      <c r="N14" s="2071"/>
      <c r="O14" s="1043"/>
      <c r="P14" s="1072"/>
      <c r="Q14" s="2036"/>
      <c r="R14" s="1072"/>
      <c r="S14" s="2014"/>
      <c r="T14" s="2017" t="s">
        <v>173</v>
      </c>
      <c r="U14" s="2016"/>
      <c r="V14" s="2016"/>
      <c r="W14" s="2016"/>
      <c r="X14" s="2016"/>
      <c r="Y14" s="2016"/>
      <c r="Z14" s="2016"/>
      <c r="AA14" s="2016"/>
      <c r="AB14" s="2016"/>
      <c r="AC14" s="2016"/>
      <c r="AD14" s="2016"/>
      <c r="AE14" s="2016"/>
      <c r="AF14" s="2016"/>
      <c r="AG14" s="2016"/>
      <c r="AH14" s="2016"/>
      <c r="AI14" s="2016"/>
      <c r="AJ14" s="2016"/>
      <c r="AK14" s="2016"/>
      <c r="AM14" s="2316"/>
      <c r="AN14" s="2316" t="str">
        <f>IF(T14="","",T14)</f>
        <v>Добавить территорию для дифференциации</v>
      </c>
      <c r="AO14" s="2316"/>
      <c r="AP14" s="2316"/>
      <c r="AQ14" s="2328">
        <v>0</v>
      </c>
    </row>
    <row customHeight="1" ht="14.25" hidden="1">
      <c r="AQ15" s="2323">
        <v>0</v>
      </c>
    </row>
    <row customHeight="1" ht="14.25" hidden="1">
      <c r="AC16" s="2194"/>
      <c r="AD16" s="2095"/>
      <c r="AE16" s="2096"/>
      <c r="AF16" s="2428"/>
      <c r="AG16" s="2658" t="s">
        <v>67</v>
      </c>
      <c r="AH16" s="2428"/>
      <c r="AI16" s="2658" t="s">
        <v>67</v>
      </c>
      <c r="AQ16" s="2323">
        <v>0</v>
      </c>
    </row>
    <row customHeight="1" ht="14.25" hidden="1">
      <c r="AL17" s="2333"/>
      <c r="AM17" s="2333"/>
      <c r="AN17" s="2333"/>
      <c r="AO17" s="2333"/>
      <c r="AP17" s="2333"/>
      <c r="AQ17" s="2323">
        <v>0</v>
      </c>
    </row>
    <row customHeight="1" ht="14.25" hidden="1">
      <c r="O18" s="2037" t="s">
        <v>489</v>
      </c>
      <c r="X18" s="2037"/>
      <c r="Z18" s="2037"/>
      <c r="AF18" s="2037"/>
      <c r="AH18" s="2037"/>
      <c r="AL18" s="2333"/>
      <c r="AM18" s="2333"/>
      <c r="AN18" s="2333"/>
      <c r="AO18" s="2333"/>
      <c r="AP18" s="2333"/>
      <c r="AQ18" s="2323">
        <v>0</v>
      </c>
    </row>
    <row customHeight="1" ht="14.25" hidden="1">
      <c r="AL19" s="2333"/>
      <c r="AM19" s="2333"/>
      <c r="AN19" s="2333"/>
      <c r="AO19" s="2333"/>
      <c r="AP19" s="2333"/>
      <c r="AQ19" s="2323">
        <v>0</v>
      </c>
    </row>
    <row s="61412" customFormat="1" customHeight="1" ht="14.25" hidden="1">
      <c r="A20" s="2663"/>
      <c r="B20" s="2663"/>
      <c r="C20" s="2663"/>
      <c r="D20" s="2663"/>
      <c r="E20" s="2663"/>
      <c r="F20" s="2663"/>
      <c r="G20" s="2663"/>
      <c r="H20" s="2663"/>
      <c r="I20" s="2663"/>
      <c r="J20" s="2663"/>
      <c r="K20" s="2663"/>
      <c r="L20" s="2663"/>
      <c r="M20" s="2664"/>
      <c r="N20" s="2664"/>
      <c r="O20" s="2665" t="s">
        <v>490</v>
      </c>
      <c r="P20" s="2200"/>
      <c r="Q20" s="2202"/>
      <c r="R20" s="2202"/>
      <c r="Y20" s="2199" t="s">
        <v>492</v>
      </c>
      <c r="AA20" s="2199" t="s">
        <v>493</v>
      </c>
      <c r="AC20" s="2199" t="s">
        <v>544</v>
      </c>
      <c r="AG20" s="2199" t="s">
        <v>492</v>
      </c>
      <c r="AI20" s="2199" t="s">
        <v>493</v>
      </c>
      <c r="AL20" s="2203"/>
      <c r="AM20" s="2203"/>
      <c r="AN20" s="2203"/>
      <c r="AO20" s="2203"/>
      <c r="AP20" s="2203"/>
      <c r="AQ20" s="2199">
        <v>0</v>
      </c>
    </row>
    <row customHeight="1" ht="14.25" hidden="1">
      <c r="O21" s="2002"/>
      <c r="AL21" s="2333"/>
      <c r="AM21" s="2333"/>
      <c r="AN21" s="2333"/>
      <c r="AO21" s="2333"/>
      <c r="AP21" s="2333"/>
      <c r="AQ21" s="2323">
        <v>0</v>
      </c>
    </row>
    <row customHeight="1" ht="14.25" hidden="1">
      <c r="O22" s="2002"/>
      <c r="AL22" s="2333"/>
      <c r="AM22" s="2333"/>
      <c r="AN22" s="2333"/>
      <c r="AO22" s="2333"/>
      <c r="AP22" s="2333"/>
      <c r="AQ22" s="2323">
        <v>0</v>
      </c>
    </row>
    <row customHeight="1" ht="14.699999999999998">
      <c r="Q23" s="983"/>
      <c r="R23" s="1068"/>
      <c r="S23" s="1967"/>
      <c r="T23" s="1149"/>
      <c r="U23" s="1149"/>
      <c r="V23" s="2327"/>
      <c r="W23" s="2327"/>
      <c r="X23" s="2327"/>
      <c r="Y23" s="2327"/>
      <c r="Z23" s="2327"/>
      <c r="AA23" s="2327"/>
      <c r="AB23" s="2327"/>
      <c r="AC23" s="2327"/>
      <c r="AD23" s="2327"/>
      <c r="AE23" s="2327"/>
      <c r="AF23" s="2327"/>
      <c r="AG23" s="2327"/>
      <c r="AH23" s="2327"/>
      <c r="AI23" s="2327"/>
      <c r="AQ23" s="2323">
        <v>14</v>
      </c>
    </row>
    <row customHeight="1" ht="39.75">
      <c r="Q24" s="983"/>
      <c r="R24" s="1068"/>
      <c r="S24" s="294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940"/>
      <c r="U24" s="2940"/>
      <c r="V24" s="2940"/>
      <c r="W24" s="2940"/>
      <c r="X24" s="2940"/>
      <c r="Y24" s="2940"/>
      <c r="Z24" s="2940"/>
      <c r="AA24" s="2940"/>
      <c r="AB24" s="2940"/>
      <c r="AC24" s="2940"/>
      <c r="AD24" s="2940"/>
      <c r="AE24" s="2940"/>
      <c r="AF24" s="2940"/>
      <c r="AG24" s="2940"/>
      <c r="AH24" s="2940"/>
      <c r="AI24" s="1935"/>
      <c r="AQ24" s="2323">
        <v>38</v>
      </c>
    </row>
    <row customHeight="1" ht="14.699999999999998">
      <c r="Q25" s="983"/>
      <c r="R25" s="1068"/>
      <c r="S25" s="2941" t="str">
        <f>IF(org=0,"Не определено",org)</f>
        <v>АО "ДГК"</v>
      </c>
      <c r="T25" s="2941"/>
      <c r="U25" s="2941"/>
      <c r="V25" s="2941"/>
      <c r="W25" s="2941"/>
      <c r="X25" s="2941"/>
      <c r="Y25" s="2941"/>
      <c r="Z25" s="2941"/>
      <c r="AA25" s="2941"/>
      <c r="AB25" s="2941"/>
      <c r="AC25" s="2941"/>
      <c r="AD25" s="2941"/>
      <c r="AE25" s="2941"/>
      <c r="AF25" s="2941"/>
      <c r="AG25" s="2941"/>
      <c r="AH25" s="2941"/>
      <c r="AI25" s="1935"/>
      <c r="AQ25" s="2323">
        <v>14</v>
      </c>
    </row>
    <row customHeight="1" ht="14.25" hidden="1">
      <c r="Q26" s="983"/>
      <c r="R26" s="1068"/>
      <c r="S26" s="1967"/>
      <c r="T26" s="1149"/>
      <c r="U26" s="1149"/>
      <c r="V26" s="1014"/>
      <c r="W26" s="1014"/>
      <c r="X26" s="1014"/>
      <c r="Y26" s="1014"/>
      <c r="Z26" s="1014"/>
      <c r="AA26" s="1014"/>
      <c r="AB26" s="1014"/>
      <c r="AC26" s="1014"/>
      <c r="AD26" s="1014"/>
      <c r="AE26" s="1014"/>
      <c r="AF26" s="1014"/>
      <c r="AG26" s="1014"/>
      <c r="AH26" s="1014"/>
      <c r="AI26" s="1014"/>
      <c r="AJ26" s="2327"/>
      <c r="AQ26" s="2323">
        <v>0</v>
      </c>
    </row>
    <row s="63055" customFormat="1" customHeight="1" ht="25.5" hidden="1">
      <c r="A27" s="1940"/>
      <c r="B27" s="1940"/>
      <c r="C27" s="1940"/>
      <c r="D27" s="1940"/>
      <c r="E27" s="1940"/>
      <c r="F27" s="1940"/>
      <c r="G27" s="1940"/>
      <c r="H27" s="1940"/>
      <c r="I27" s="1940"/>
      <c r="J27" s="1940"/>
      <c r="K27" s="1940"/>
      <c r="L27" s="2072"/>
      <c r="M27" s="1940"/>
      <c r="N27" s="1940"/>
      <c r="O27" s="1940"/>
      <c r="P27" s="2060"/>
      <c r="Q27" s="2060"/>
      <c r="S27" s="2942" t="s">
        <v>42</v>
      </c>
      <c r="T27" s="2942"/>
      <c r="U27" s="2064"/>
      <c r="V27" s="2943" t="str">
        <f>IF(TITLE_NAME_OR_PR_CHANGE="",IF(TITLE_NAME_OR_PR="","",TITLE_NAME_OR_PR),TITLE_NAME_OR_PR_CHANGE)</f>
        <v/>
      </c>
      <c r="W27" s="2943"/>
      <c r="X27" s="2943"/>
      <c r="Y27" s="2943"/>
      <c r="Z27" s="2943"/>
      <c r="AA27" s="2327"/>
      <c r="AB27" s="2327"/>
      <c r="AC27" s="2943"/>
      <c r="AD27" s="2943"/>
      <c r="AE27" s="2943"/>
      <c r="AF27" s="2943"/>
      <c r="AG27" s="2943"/>
      <c r="AH27" s="2943"/>
      <c r="AI27" s="2327"/>
      <c r="AJ27" s="2327"/>
      <c r="AK27" s="972"/>
      <c r="AL27" s="1060"/>
      <c r="AM27" s="1060"/>
      <c r="AN27" s="1060"/>
      <c r="AO27" s="1060"/>
      <c r="AP27" s="1060"/>
      <c r="AQ27" s="1110">
        <v>0</v>
      </c>
    </row>
    <row s="63055" customFormat="1" customHeight="1" ht="18.75" hidden="1">
      <c r="A28" s="1940"/>
      <c r="B28" s="1940"/>
      <c r="C28" s="1940"/>
      <c r="D28" s="1940"/>
      <c r="E28" s="1940"/>
      <c r="F28" s="1940"/>
      <c r="G28" s="1940"/>
      <c r="H28" s="1940"/>
      <c r="I28" s="1940"/>
      <c r="J28" s="1940"/>
      <c r="K28" s="1940"/>
      <c r="L28" s="2072"/>
      <c r="M28" s="1940"/>
      <c r="N28" s="1940"/>
      <c r="O28" s="1940"/>
      <c r="P28" s="2060"/>
      <c r="Q28" s="2060"/>
      <c r="S28" s="2942" t="s">
        <v>495</v>
      </c>
      <c r="T28" s="2942"/>
      <c r="U28" s="2064"/>
      <c r="V28" s="2956" t="str">
        <f>IF(TITLE_DATE_PR_CHANGE="",IF(TITLE_DATE_PR="","",TITLE_DATE_PR),TITLE_DATE_PR_CHANGE)</f>
        <v>45981</v>
      </c>
      <c r="W28" s="2956"/>
      <c r="X28" s="2956"/>
      <c r="Y28" s="2956"/>
      <c r="Z28" s="2956"/>
      <c r="AA28" s="2327"/>
      <c r="AB28" s="2327"/>
      <c r="AC28" s="2956"/>
      <c r="AD28" s="2956"/>
      <c r="AE28" s="2956"/>
      <c r="AF28" s="2956"/>
      <c r="AG28" s="2956"/>
      <c r="AH28" s="2956"/>
      <c r="AI28" s="2327"/>
      <c r="AJ28" s="2327"/>
      <c r="AK28" s="972"/>
      <c r="AL28" s="1060"/>
      <c r="AM28" s="1060"/>
      <c r="AN28" s="1060"/>
      <c r="AO28" s="1060"/>
      <c r="AP28" s="1060"/>
      <c r="AQ28" s="1110">
        <v>0</v>
      </c>
    </row>
    <row s="63055" customFormat="1" customHeight="1" ht="18.75" hidden="1">
      <c r="A29" s="1940"/>
      <c r="B29" s="1940"/>
      <c r="C29" s="1940"/>
      <c r="D29" s="1940"/>
      <c r="E29" s="1940"/>
      <c r="F29" s="1940"/>
      <c r="G29" s="1940"/>
      <c r="H29" s="1940"/>
      <c r="I29" s="1940"/>
      <c r="J29" s="1940"/>
      <c r="K29" s="1940"/>
      <c r="L29" s="2072"/>
      <c r="M29" s="1940"/>
      <c r="N29" s="1940"/>
      <c r="O29" s="1940"/>
      <c r="P29" s="2060"/>
      <c r="Q29" s="2060"/>
      <c r="S29" s="2942" t="s">
        <v>496</v>
      </c>
      <c r="T29" s="2942"/>
      <c r="U29" s="2064"/>
      <c r="V29" s="2943" t="str">
        <f>IF(TITLE_NUMBER_PR_CHANGE="",IF(TITLE_NUMBER_PR="","",TITLE_NUMBER_PR),TITLE_NUMBER_PR_CHANGE)</f>
        <v>Исх-260/1781</v>
      </c>
      <c r="W29" s="2943"/>
      <c r="X29" s="2943"/>
      <c r="Y29" s="2943"/>
      <c r="Z29" s="2943"/>
      <c r="AA29" s="2327"/>
      <c r="AB29" s="2327"/>
      <c r="AC29" s="2943"/>
      <c r="AD29" s="2943"/>
      <c r="AE29" s="2943"/>
      <c r="AF29" s="2943"/>
      <c r="AG29" s="2943"/>
      <c r="AH29" s="2943"/>
      <c r="AI29" s="2327"/>
      <c r="AJ29" s="2327"/>
      <c r="AK29" s="972"/>
      <c r="AL29" s="1060"/>
      <c r="AM29" s="1060"/>
      <c r="AN29" s="1060"/>
      <c r="AO29" s="1060"/>
      <c r="AP29" s="1060"/>
      <c r="AQ29" s="1110">
        <v>0</v>
      </c>
    </row>
    <row s="63055" customFormat="1" customHeight="1" ht="18.75" hidden="1">
      <c r="A30" s="1940"/>
      <c r="B30" s="1940"/>
      <c r="C30" s="1940"/>
      <c r="D30" s="1940"/>
      <c r="E30" s="1940"/>
      <c r="F30" s="1940"/>
      <c r="G30" s="1940"/>
      <c r="H30" s="1940"/>
      <c r="I30" s="1940"/>
      <c r="J30" s="1940"/>
      <c r="K30" s="1940"/>
      <c r="L30" s="2072"/>
      <c r="M30" s="1940"/>
      <c r="N30" s="1940"/>
      <c r="O30" s="1940"/>
      <c r="P30" s="2060"/>
      <c r="Q30" s="2060"/>
      <c r="S30" s="2942" t="s">
        <v>43</v>
      </c>
      <c r="T30" s="2942"/>
      <c r="U30" s="2064"/>
      <c r="V30" s="2943" t="str">
        <f>IF(TITLE_IST_PUB_CHANGE="",IF(TITLE_IST_PUB="","",TITLE_IST_PUB),TITLE_IST_PUB_CHANGE)</f>
        <v/>
      </c>
      <c r="W30" s="2943"/>
      <c r="X30" s="2943"/>
      <c r="Y30" s="2943"/>
      <c r="Z30" s="2943"/>
      <c r="AA30" s="2327"/>
      <c r="AB30" s="2327"/>
      <c r="AC30" s="2943"/>
      <c r="AD30" s="2943"/>
      <c r="AE30" s="2943"/>
      <c r="AF30" s="2943"/>
      <c r="AG30" s="2943"/>
      <c r="AH30" s="2943"/>
      <c r="AI30" s="2327"/>
      <c r="AJ30" s="2327"/>
      <c r="AK30" s="972"/>
      <c r="AL30" s="1060"/>
      <c r="AM30" s="1060"/>
      <c r="AN30" s="1060"/>
      <c r="AO30" s="1060"/>
      <c r="AP30" s="1060"/>
      <c r="AQ30" s="1110">
        <v>0</v>
      </c>
    </row>
    <row customHeight="1" ht="14.25" hidden="1">
      <c r="Q31" s="983"/>
      <c r="R31" s="1068"/>
      <c r="S31" s="1967"/>
      <c r="T31" s="1149"/>
      <c r="U31" s="1149"/>
      <c r="V31" s="1014"/>
      <c r="W31" s="1014"/>
      <c r="X31" s="1014"/>
      <c r="Y31" s="1014"/>
      <c r="Z31" s="1014"/>
      <c r="AA31" s="1014"/>
      <c r="AB31" s="1014"/>
      <c r="AC31" s="1014"/>
      <c r="AD31" s="1014"/>
      <c r="AE31" s="1014"/>
      <c r="AF31" s="1014"/>
      <c r="AG31" s="1014"/>
      <c r="AH31" s="1014"/>
      <c r="AI31" s="1014"/>
      <c r="AJ31" s="2327"/>
      <c r="AQ31" s="2323">
        <v>0</v>
      </c>
    </row>
    <row s="63055" customFormat="1" customHeight="1" ht="18.75" hidden="1">
      <c r="A32" s="1940"/>
      <c r="B32" s="1940"/>
      <c r="C32" s="1940"/>
      <c r="D32" s="1940"/>
      <c r="E32" s="1940"/>
      <c r="F32" s="1940"/>
      <c r="G32" s="1940"/>
      <c r="H32" s="1940"/>
      <c r="I32" s="1940"/>
      <c r="J32" s="1940"/>
      <c r="K32" s="1940"/>
      <c r="L32" s="2072"/>
      <c r="M32" s="1940"/>
      <c r="N32" s="1940"/>
      <c r="O32" s="1940"/>
      <c r="P32" s="2060"/>
      <c r="Q32" s="2060"/>
      <c r="S32" s="2942" t="s">
        <v>495</v>
      </c>
      <c r="T32" s="2942"/>
      <c r="U32" s="2064"/>
      <c r="V32" s="2956" t="str">
        <f>IF(TITLE_DATE_PR_CHANGE="",IF(TITLE_DATE_PR="","",TITLE_DATE_PR),TITLE_DATE_PR_CHANGE)</f>
        <v>45981</v>
      </c>
      <c r="W32" s="2956"/>
      <c r="X32" s="2956"/>
      <c r="Y32" s="2956"/>
      <c r="Z32" s="2956"/>
      <c r="AA32" s="2327"/>
      <c r="AB32" s="2327"/>
      <c r="AC32" s="2956"/>
      <c r="AD32" s="2956"/>
      <c r="AE32" s="2956"/>
      <c r="AF32" s="2956"/>
      <c r="AG32" s="2956"/>
      <c r="AH32" s="2956"/>
      <c r="AI32" s="2327"/>
      <c r="AJ32" s="2327"/>
      <c r="AK32" s="972"/>
      <c r="AL32" s="1060"/>
      <c r="AM32" s="1060"/>
      <c r="AN32" s="1060"/>
      <c r="AO32" s="1060"/>
      <c r="AP32" s="1060"/>
      <c r="AQ32" s="1110">
        <v>0</v>
      </c>
    </row>
    <row s="63055" customFormat="1" customHeight="1" ht="18" hidden="1">
      <c r="A33" s="1940"/>
      <c r="B33" s="1940"/>
      <c r="C33" s="1940"/>
      <c r="D33" s="1940"/>
      <c r="E33" s="1940"/>
      <c r="F33" s="1940"/>
      <c r="G33" s="1940"/>
      <c r="H33" s="1940"/>
      <c r="I33" s="1940"/>
      <c r="J33" s="1940"/>
      <c r="K33" s="1940"/>
      <c r="L33" s="2072"/>
      <c r="M33" s="1940"/>
      <c r="N33" s="1940"/>
      <c r="O33" s="1940"/>
      <c r="P33" s="2060"/>
      <c r="Q33" s="2060"/>
      <c r="S33" s="2942" t="s">
        <v>496</v>
      </c>
      <c r="T33" s="2942"/>
      <c r="U33" s="2064"/>
      <c r="V33" s="2943" t="str">
        <f>IF(TITLE_NUMBER_PR_CHANGE="",IF(TITLE_NUMBER_PR="","",TITLE_NUMBER_PR),TITLE_NUMBER_PR_CHANGE)</f>
        <v>Исх-260/1781</v>
      </c>
      <c r="W33" s="2943"/>
      <c r="X33" s="2943"/>
      <c r="Y33" s="2943"/>
      <c r="Z33" s="2943"/>
      <c r="AA33" s="2327"/>
      <c r="AB33" s="2327"/>
      <c r="AC33" s="2943"/>
      <c r="AD33" s="2943"/>
      <c r="AE33" s="2943"/>
      <c r="AF33" s="2943"/>
      <c r="AG33" s="2943"/>
      <c r="AH33" s="2943"/>
      <c r="AI33" s="2327"/>
      <c r="AJ33" s="2327"/>
      <c r="AK33" s="972"/>
      <c r="AL33" s="1060"/>
      <c r="AM33" s="1060"/>
      <c r="AN33" s="1060"/>
      <c r="AO33" s="1060"/>
      <c r="AP33" s="1060"/>
      <c r="AQ33" s="1110">
        <v>0</v>
      </c>
    </row>
    <row s="63055" customFormat="1" customHeight="1" ht="1.05">
      <c r="A34" s="1940"/>
      <c r="B34" s="1940"/>
      <c r="C34" s="1940"/>
      <c r="D34" s="1940"/>
      <c r="E34" s="1940"/>
      <c r="F34" s="1940"/>
      <c r="G34" s="1940"/>
      <c r="H34" s="1940"/>
      <c r="I34" s="1940"/>
      <c r="J34" s="1940"/>
      <c r="K34" s="1940"/>
      <c r="L34" s="2072"/>
      <c r="M34" s="1940"/>
      <c r="N34" s="1940"/>
      <c r="O34" s="1940"/>
      <c r="P34" s="2060"/>
      <c r="Q34" s="2060"/>
      <c r="S34" s="2327"/>
      <c r="T34" s="2327"/>
      <c r="U34" s="2662"/>
      <c r="V34" s="2327"/>
      <c r="W34" s="2327"/>
      <c r="X34" s="2327"/>
      <c r="Y34" s="2327"/>
      <c r="Z34" s="2327"/>
      <c r="AA34" s="2334" t="s">
        <v>499</v>
      </c>
      <c r="AB34" s="2334"/>
      <c r="AC34" s="2327"/>
      <c r="AD34" s="2327"/>
      <c r="AE34" s="2327"/>
      <c r="AF34" s="2327"/>
      <c r="AG34" s="2327"/>
      <c r="AH34" s="2327"/>
      <c r="AI34" s="2334" t="s">
        <v>499</v>
      </c>
      <c r="AL34" s="1060"/>
      <c r="AM34" s="1060"/>
      <c r="AN34" s="1060"/>
      <c r="AO34" s="1060"/>
      <c r="AP34" s="1060"/>
      <c r="AQ34" s="1110">
        <v>1</v>
      </c>
    </row>
    <row customHeight="1" ht="14.699999999999998">
      <c r="Q35" s="983"/>
      <c r="R35" s="1068"/>
      <c r="S35" s="1967"/>
      <c r="T35" s="1149"/>
      <c r="U35" s="1936"/>
      <c r="V35" s="2944"/>
      <c r="W35" s="2944"/>
      <c r="X35" s="2944"/>
      <c r="Y35" s="2944"/>
      <c r="Z35" s="2944"/>
      <c r="AA35" s="2944"/>
      <c r="AB35" s="2649"/>
      <c r="AC35" s="2944"/>
      <c r="AD35" s="2944"/>
      <c r="AE35" s="2944"/>
      <c r="AF35" s="2944"/>
      <c r="AG35" s="2944"/>
      <c r="AH35" s="2944"/>
      <c r="AI35" s="2944"/>
      <c r="AQ35" s="2323">
        <v>14</v>
      </c>
    </row>
    <row customHeight="1" ht="14.699999999999998">
      <c r="Q36" s="983"/>
      <c r="R36" s="1068"/>
      <c r="S36" s="2819" t="s">
        <v>375</v>
      </c>
      <c r="T36" s="2819"/>
      <c r="U36" s="2819"/>
      <c r="V36" s="2819"/>
      <c r="W36" s="2819"/>
      <c r="X36" s="2819"/>
      <c r="Y36" s="2819"/>
      <c r="Z36" s="2819"/>
      <c r="AA36" s="2867"/>
      <c r="AB36" s="2867"/>
      <c r="AC36" s="2867"/>
      <c r="AD36" s="2819"/>
      <c r="AE36" s="2819"/>
      <c r="AF36" s="2819"/>
      <c r="AG36" s="2819"/>
      <c r="AH36" s="2819"/>
      <c r="AI36" s="2819"/>
      <c r="AJ36" s="2819"/>
      <c r="AK36" s="2819" t="s">
        <v>376</v>
      </c>
      <c r="AQ36" s="2323">
        <v>14</v>
      </c>
    </row>
    <row customHeight="1" ht="14.699999999999998">
      <c r="Q37" s="983"/>
      <c r="R37" s="1068"/>
      <c r="S37" s="2965" t="s">
        <v>89</v>
      </c>
      <c r="T37" s="2901" t="s">
        <v>573</v>
      </c>
      <c r="U37" s="1029"/>
      <c r="V37" s="2967"/>
      <c r="W37" s="2967"/>
      <c r="X37" s="2967"/>
      <c r="Y37" s="2967"/>
      <c r="Z37" s="2967"/>
      <c r="AA37" s="2901" t="s">
        <v>502</v>
      </c>
      <c r="AB37" s="2900" t="s">
        <v>574</v>
      </c>
      <c r="AC37" s="2900" t="s">
        <v>548</v>
      </c>
      <c r="AD37" s="2983" t="s">
        <v>501</v>
      </c>
      <c r="AE37" s="2983"/>
      <c r="AF37" s="2967"/>
      <c r="AG37" s="2967"/>
      <c r="AH37" s="2968"/>
      <c r="AI37" s="2969" t="s">
        <v>502</v>
      </c>
      <c r="AJ37" s="2972" t="s">
        <v>504</v>
      </c>
      <c r="AK37" s="2819"/>
      <c r="AQ37" s="2323">
        <v>14</v>
      </c>
    </row>
    <row customHeight="1" ht="35.699999999999996">
      <c r="Q38" s="983"/>
      <c r="R38" s="1068"/>
      <c r="S38" s="2965"/>
      <c r="T38" s="2901"/>
      <c r="U38" s="1723"/>
      <c r="V38" s="2795" t="s">
        <v>551</v>
      </c>
      <c r="W38" s="2819"/>
      <c r="X38" s="2986" t="s">
        <v>508</v>
      </c>
      <c r="Y38" s="3005"/>
      <c r="Z38" s="3005"/>
      <c r="AA38" s="2901"/>
      <c r="AB38" s="2900"/>
      <c r="AC38" s="2900"/>
      <c r="AD38" s="2795" t="s">
        <v>551</v>
      </c>
      <c r="AE38" s="2819"/>
      <c r="AF38" s="3005" t="s">
        <v>508</v>
      </c>
      <c r="AG38" s="3005"/>
      <c r="AH38" s="3006"/>
      <c r="AI38" s="2970"/>
      <c r="AJ38" s="2973"/>
      <c r="AK38" s="2819"/>
      <c r="AQ38" s="2323">
        <v>34</v>
      </c>
    </row>
    <row customHeight="1" ht="14.699999999999998">
      <c r="Q39" s="983"/>
      <c r="R39" s="1068"/>
      <c r="S39" s="2965"/>
      <c r="T39" s="2901"/>
      <c r="U39" s="1723"/>
      <c r="V39" s="3032" t="str">
        <f>IF($AD$39&lt;&gt;"",$AD$39,"")</f>
        <v/>
      </c>
      <c r="W39" s="3032"/>
      <c r="X39" s="2987"/>
      <c r="Y39" s="3007"/>
      <c r="Z39" s="3007"/>
      <c r="AA39" s="2901"/>
      <c r="AB39" s="2900"/>
      <c r="AC39" s="2900"/>
      <c r="AD39" s="3048"/>
      <c r="AE39" s="3031"/>
      <c r="AF39" s="3007"/>
      <c r="AG39" s="3007"/>
      <c r="AH39" s="3008"/>
      <c r="AI39" s="2970"/>
      <c r="AJ39" s="2973"/>
      <c r="AK39" s="2819"/>
      <c r="AQ39" s="2323">
        <v>14</v>
      </c>
    </row>
    <row customHeight="1" ht="14.699999999999998">
      <c r="A40" s="1958"/>
      <c r="B40" s="1958" t="s">
        <v>143</v>
      </c>
      <c r="C40" s="1958" t="s">
        <v>144</v>
      </c>
      <c r="D40" s="1958" t="s">
        <v>145</v>
      </c>
      <c r="E40" s="2002" t="s">
        <v>509</v>
      </c>
      <c r="F40" s="2002" t="s">
        <v>510</v>
      </c>
      <c r="G40" s="2002" t="s">
        <v>511</v>
      </c>
      <c r="H40" s="2002" t="s">
        <v>512</v>
      </c>
      <c r="I40" s="2002" t="s">
        <v>513</v>
      </c>
      <c r="J40" s="2002" t="s">
        <v>514</v>
      </c>
      <c r="K40" s="2002" t="s">
        <v>515</v>
      </c>
      <c r="L40" s="2002" t="s">
        <v>490</v>
      </c>
      <c r="Q40" s="983"/>
      <c r="R40" s="1068"/>
      <c r="S40" s="2965"/>
      <c r="T40" s="2901"/>
      <c r="U40" s="994"/>
      <c r="V40" s="2642" t="s">
        <v>552</v>
      </c>
      <c r="W40" s="2642" t="s">
        <v>553</v>
      </c>
      <c r="X40" s="2630" t="s">
        <v>518</v>
      </c>
      <c r="Y40" s="2962" t="s">
        <v>519</v>
      </c>
      <c r="Z40" s="3012"/>
      <c r="AA40" s="2901"/>
      <c r="AB40" s="2900"/>
      <c r="AC40" s="2900"/>
      <c r="AD40" s="2660" t="s">
        <v>552</v>
      </c>
      <c r="AE40" s="2651" t="s">
        <v>553</v>
      </c>
      <c r="AF40" s="2630" t="s">
        <v>518</v>
      </c>
      <c r="AG40" s="2962" t="s">
        <v>519</v>
      </c>
      <c r="AH40" s="2963"/>
      <c r="AI40" s="2971"/>
      <c r="AJ40" s="2974"/>
      <c r="AK40" s="2819"/>
      <c r="AQ40" s="2323">
        <v>14</v>
      </c>
    </row>
    <row s="61193" customFormat="1" customHeight="1" ht="11.25" hidden="1">
      <c r="A41" s="1958"/>
      <c r="B41" s="1958"/>
      <c r="C41" s="1958"/>
      <c r="D41" s="1958"/>
      <c r="E41" s="1958"/>
      <c r="F41" s="1958"/>
      <c r="G41" s="1958"/>
      <c r="H41" s="1958"/>
      <c r="I41" s="1958"/>
      <c r="J41" s="1958"/>
      <c r="K41" s="1958"/>
      <c r="L41" s="2002"/>
      <c r="M41" s="2657"/>
      <c r="N41" s="2657"/>
      <c r="O41" s="2657"/>
      <c r="P41" s="1202"/>
      <c r="Q41" s="1946"/>
      <c r="R41" s="1946">
        <v>1</v>
      </c>
      <c r="S41" s="1969" t="s">
        <v>118</v>
      </c>
      <c r="T41" s="1947" t="s">
        <v>103</v>
      </c>
      <c r="U41" s="1937" t="str">
        <f>OFFSET(U41,0,-1)</f>
        <v>2</v>
      </c>
      <c r="V41" s="2648">
        <f>OFFSET(V41,0,-1)+1</f>
        <v>3</v>
      </c>
      <c r="W41" s="2648">
        <f>OFFSET(W41,0,-1)+1</f>
        <v>4</v>
      </c>
      <c r="X41" s="2648">
        <f>OFFSET(X41,0,-1)+1</f>
        <v>5</v>
      </c>
      <c r="Y41" s="2964">
        <f>OFFSET(Y41,0,-1)+1</f>
        <v>6</v>
      </c>
      <c r="Z41" s="2964"/>
      <c r="AA41" s="2033">
        <f>OFFSET(AA41,0,-2)+1</f>
        <v>7</v>
      </c>
      <c r="AB41" s="2033"/>
      <c r="AC41" s="2033"/>
      <c r="AD41" s="2648">
        <f>OFFSET(AD41,0,-1)+1</f>
        <v>1</v>
      </c>
      <c r="AE41" s="2648">
        <f>OFFSET(AE41,0,-1)+1</f>
        <v>2</v>
      </c>
      <c r="AF41" s="2648">
        <f>OFFSET(AF41,0,-1)+1</f>
        <v>3</v>
      </c>
      <c r="AG41" s="2964">
        <f>OFFSET(AG41,0,-1)+1</f>
        <v>4</v>
      </c>
      <c r="AH41" s="2964"/>
      <c r="AI41" s="2648">
        <f>OFFSET(AI41,0,-2)+1</f>
        <v>5</v>
      </c>
      <c r="AJ41" s="1937">
        <f>OFFSET(AJ41,0,-1)</f>
        <v>5</v>
      </c>
      <c r="AK41" s="2648">
        <f>OFFSET(AK41,0,-1)+1</f>
        <v>6</v>
      </c>
      <c r="AL41" s="2328"/>
      <c r="AM41" s="2328"/>
      <c r="AN41" s="2328"/>
      <c r="AO41" s="2328"/>
      <c r="AP41" s="2328"/>
      <c r="AQ41" s="2333">
        <v>0</v>
      </c>
    </row>
    <row customHeight="1" ht="107.25">
      <c r="A42" s="1959" t="s">
        <v>281</v>
      </c>
      <c r="B42" s="1959"/>
      <c r="C42" s="1959"/>
      <c r="D42" s="1959"/>
      <c r="E42" s="2981">
        <v>1</v>
      </c>
      <c r="F42" s="1959"/>
      <c r="G42" s="1959"/>
      <c r="H42" s="1959"/>
      <c r="I42" s="1959"/>
      <c r="J42" s="1959"/>
      <c r="K42" s="1959"/>
      <c r="L42" s="2002"/>
      <c r="M42" s="2302"/>
      <c r="N42" s="2302"/>
      <c r="O42" s="2302"/>
      <c r="P42" s="2101"/>
      <c r="Q42" s="1565"/>
      <c r="R42" s="1047"/>
      <c r="S42" s="2650">
        <f>INDEX(PT_DIFFERENTIATION_NUM_NTAR,MATCH(A42,PT_DIFFERENTIATION_NTAR_ID,0))</f>
        <v>0</v>
      </c>
      <c r="T42" s="2217" t="s">
        <v>131</v>
      </c>
      <c r="U42" s="992"/>
      <c r="V42" s="2935"/>
      <c r="W42" s="2935"/>
      <c r="X42" s="2935"/>
      <c r="Y42" s="2935"/>
      <c r="Z42" s="2935"/>
      <c r="AA42" s="2936"/>
      <c r="AB42" s="2644"/>
      <c r="AC42" s="2935" t="str">
        <f>INDEX(PT_DIFFERENTIATION_NTAR,MATCH(A42,PT_DIFFERENTIATION_NTAR_ID,0))</f>
        <v/>
      </c>
      <c r="AD42" s="2935"/>
      <c r="AE42" s="2935"/>
      <c r="AF42" s="2935"/>
      <c r="AG42" s="2935"/>
      <c r="AH42" s="2935"/>
      <c r="AI42" s="2935"/>
      <c r="AJ42" s="2936"/>
      <c r="AK42" s="195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316"/>
      <c r="AN42" s="2316" t="str">
        <f>IF(T42="","",T42)</f>
        <v>Наименование тарифа</v>
      </c>
      <c r="AO42" s="2316"/>
      <c r="AP42" s="2316"/>
      <c r="AQ42" s="2323">
        <v>102</v>
      </c>
    </row>
    <row customHeight="1" ht="22.049999999999997">
      <c r="A43" s="1959" t="s">
        <v>281</v>
      </c>
      <c r="B43" s="1959" t="s">
        <v>282</v>
      </c>
      <c r="C43" s="1959"/>
      <c r="D43" s="1959"/>
      <c r="E43" s="2982"/>
      <c r="F43" s="2981">
        <v>1</v>
      </c>
      <c r="G43" s="1959"/>
      <c r="H43" s="1959"/>
      <c r="I43" s="1959"/>
      <c r="J43" s="1959"/>
      <c r="K43" s="1959"/>
      <c r="L43" s="2002"/>
      <c r="M43" s="2302"/>
      <c r="N43" s="2302"/>
      <c r="O43" s="2302"/>
      <c r="P43" s="2661"/>
      <c r="Q43" s="2103"/>
      <c r="R43" s="1045"/>
      <c r="S43" s="2650" t="str">
        <f>INDEX(PT_DIFFERENTIATION_NUM_TER,MATCH(B43,PT_DIFFERENTIATION_TER_ID,0))</f>
        <v>.</v>
      </c>
      <c r="T43" s="2214" t="s">
        <v>472</v>
      </c>
      <c r="U43" s="992"/>
      <c r="V43" s="2935"/>
      <c r="W43" s="2935"/>
      <c r="X43" s="2935"/>
      <c r="Y43" s="2935"/>
      <c r="Z43" s="2935"/>
      <c r="AA43" s="2936"/>
      <c r="AB43" s="2644"/>
      <c r="AC43" s="2935" t="str">
        <f>INDEX(PT_DIFFERENTIATION_TER,MATCH(B43,PT_DIFFERENTIATION_TER_ID,0))</f>
        <v/>
      </c>
      <c r="AD43" s="2935"/>
      <c r="AE43" s="2935"/>
      <c r="AF43" s="2935"/>
      <c r="AG43" s="2935"/>
      <c r="AH43" s="2935"/>
      <c r="AI43" s="2935"/>
      <c r="AJ43" s="2936"/>
      <c r="AK43" s="1950" t="s">
        <v>473</v>
      </c>
      <c r="AM43" s="2316"/>
      <c r="AN43" s="2316" t="str">
        <f>IF(T43="","",T43)</f>
        <v>Территория действия тарифа</v>
      </c>
      <c r="AO43" s="2316"/>
      <c r="AP43" s="2316"/>
      <c r="AQ43" s="2323">
        <v>21</v>
      </c>
    </row>
    <row customHeight="1" ht="24">
      <c r="A44" s="1959" t="s">
        <v>281</v>
      </c>
      <c r="B44" s="1959" t="s">
        <v>282</v>
      </c>
      <c r="C44" s="1959" t="s">
        <v>283</v>
      </c>
      <c r="D44" s="1959"/>
      <c r="E44" s="2982"/>
      <c r="F44" s="2982"/>
      <c r="G44" s="2981">
        <v>1</v>
      </c>
      <c r="H44" s="1959"/>
      <c r="I44" s="1959"/>
      <c r="J44" s="1959"/>
      <c r="K44" s="1959"/>
      <c r="L44" s="2002"/>
      <c r="M44" s="2302"/>
      <c r="N44" s="2302"/>
      <c r="O44" s="2302"/>
      <c r="P44" s="2104"/>
      <c r="Q44" s="2103"/>
      <c r="R44" s="1045"/>
      <c r="S44" s="2650" t="str">
        <f>INDEX(PT_DIFFERENTIATION_NUM_CS,MATCH(C44,PT_DIFFERENTIATION_CS_ID,0))</f>
        <v>..</v>
      </c>
      <c r="T44" s="1001" t="s">
        <v>474</v>
      </c>
      <c r="U44" s="992"/>
      <c r="V44" s="2935"/>
      <c r="W44" s="2935"/>
      <c r="X44" s="2935"/>
      <c r="Y44" s="2935"/>
      <c r="Z44" s="2935"/>
      <c r="AA44" s="2936"/>
      <c r="AB44" s="2644"/>
      <c r="AC44" s="2935" t="str">
        <f>INDEX(PT_DIFFERENTIATION_CS,MATCH(C44,PT_DIFFERENTIATION_CS_ID,0))</f>
        <v/>
      </c>
      <c r="AD44" s="2935"/>
      <c r="AE44" s="2935"/>
      <c r="AF44" s="2935"/>
      <c r="AG44" s="2935"/>
      <c r="AH44" s="2935"/>
      <c r="AI44" s="2935"/>
      <c r="AJ44" s="2936"/>
      <c r="AK44" s="1950" t="s">
        <v>475</v>
      </c>
      <c r="AM44" s="2316"/>
      <c r="AN44" s="2316" t="str">
        <f>IF(T44="","",T44)</f>
        <v>Наименование системы теплоснабжения </v>
      </c>
      <c r="AO44" s="2316"/>
      <c r="AP44" s="2316"/>
      <c r="AQ44" s="2323">
        <v>23</v>
      </c>
    </row>
    <row customHeight="1" ht="22.049999999999997">
      <c r="A45" s="1959" t="s">
        <v>281</v>
      </c>
      <c r="B45" s="1959" t="s">
        <v>282</v>
      </c>
      <c r="C45" s="1959" t="s">
        <v>283</v>
      </c>
      <c r="D45" s="1959" t="s">
        <v>284</v>
      </c>
      <c r="E45" s="2982"/>
      <c r="F45" s="2982"/>
      <c r="G45" s="2982"/>
      <c r="H45" s="2981">
        <v>1</v>
      </c>
      <c r="I45" s="1959"/>
      <c r="J45" s="1959"/>
      <c r="K45" s="1959"/>
      <c r="L45" s="2002"/>
      <c r="M45" s="2302"/>
      <c r="N45" s="2302"/>
      <c r="O45" s="2302"/>
      <c r="P45" s="2104"/>
      <c r="Q45" s="2103"/>
      <c r="R45" s="1045"/>
      <c r="S45" s="2650" t="str">
        <f>INDEX(PT_DIFFERENTIATION_NUM_IST_TE,MATCH(D45,PT_DIFFERENTIATION_IST_TE_ID,0))</f>
        <v>...</v>
      </c>
      <c r="T45" s="1002" t="s">
        <v>476</v>
      </c>
      <c r="U45" s="992"/>
      <c r="V45" s="2935"/>
      <c r="W45" s="2935"/>
      <c r="X45" s="2935"/>
      <c r="Y45" s="2935"/>
      <c r="Z45" s="2935"/>
      <c r="AA45" s="2936"/>
      <c r="AB45" s="2644"/>
      <c r="AC45" s="2935" t="str">
        <f>INDEX(PT_DIFFERENTIATION_IST_TE,MATCH(D45,PT_DIFFERENTIATION_IST_TE_ID,0))</f>
        <v/>
      </c>
      <c r="AD45" s="2935"/>
      <c r="AE45" s="2935"/>
      <c r="AF45" s="2935"/>
      <c r="AG45" s="2935"/>
      <c r="AH45" s="2935"/>
      <c r="AI45" s="2935"/>
      <c r="AJ45" s="2936"/>
      <c r="AK45" s="1950" t="s">
        <v>477</v>
      </c>
      <c r="AM45" s="2316"/>
      <c r="AN45" s="2316" t="str">
        <f>IF(T45="","",T45)</f>
        <v>Источник тепловой энергии  </v>
      </c>
      <c r="AO45" s="2316"/>
      <c r="AP45" s="2316"/>
      <c r="AQ45" s="2323">
        <v>21</v>
      </c>
    </row>
    <row s="61695" customFormat="1" customHeight="1" ht="0">
      <c r="A46" s="2067" t="s">
        <v>281</v>
      </c>
      <c r="B46" s="2067" t="s">
        <v>282</v>
      </c>
      <c r="C46" s="2067" t="s">
        <v>283</v>
      </c>
      <c r="D46" s="2067" t="s">
        <v>284</v>
      </c>
      <c r="E46" s="2982"/>
      <c r="F46" s="2982"/>
      <c r="G46" s="2982"/>
      <c r="H46" s="2982"/>
      <c r="I46" s="2819" t="str">
        <f>S45&amp;".1"</f>
        <v>....1</v>
      </c>
      <c r="J46" s="2067"/>
      <c r="K46" s="2067"/>
      <c r="L46" s="2073" t="s">
        <v>478</v>
      </c>
      <c r="M46" s="1938"/>
      <c r="N46" s="1938"/>
      <c r="O46" s="1938"/>
      <c r="P46" s="2949">
        <v>1</v>
      </c>
      <c r="Q46" s="2646"/>
      <c r="R46" s="1048"/>
      <c r="S46" s="1734"/>
      <c r="T46" s="2075"/>
      <c r="U46" s="2076"/>
      <c r="V46" s="2989"/>
      <c r="W46" s="2989"/>
      <c r="X46" s="2989"/>
      <c r="Y46" s="2989"/>
      <c r="Z46" s="2989"/>
      <c r="AA46" s="2990"/>
      <c r="AB46" s="2652"/>
      <c r="AC46" s="2989"/>
      <c r="AD46" s="2989"/>
      <c r="AE46" s="2989"/>
      <c r="AF46" s="2989"/>
      <c r="AG46" s="2989"/>
      <c r="AH46" s="2989"/>
      <c r="AI46" s="2989"/>
      <c r="AJ46" s="2990"/>
      <c r="AK46" s="2077"/>
      <c r="AM46" s="2316"/>
      <c r="AN46" s="2316" t="str">
        <f>IF(T46="","",T46)</f>
        <v/>
      </c>
      <c r="AO46" s="2316"/>
      <c r="AP46" s="2316"/>
      <c r="AQ46" s="2328">
        <v>0</v>
      </c>
    </row>
    <row s="61695" customFormat="1" customHeight="1" ht="0">
      <c r="A47" s="2067" t="s">
        <v>281</v>
      </c>
      <c r="B47" s="2067" t="s">
        <v>282</v>
      </c>
      <c r="C47" s="2067" t="s">
        <v>283</v>
      </c>
      <c r="D47" s="2067" t="s">
        <v>284</v>
      </c>
      <c r="E47" s="2982"/>
      <c r="F47" s="2982"/>
      <c r="G47" s="2982"/>
      <c r="H47" s="2982"/>
      <c r="I47" s="2793"/>
      <c r="J47" s="2819" t="str">
        <f>S45&amp;".1"</f>
        <v>....1</v>
      </c>
      <c r="K47" s="2067"/>
      <c r="L47" s="2073"/>
      <c r="M47" s="1938"/>
      <c r="N47" s="1938"/>
      <c r="O47" s="1938"/>
      <c r="P47" s="2949"/>
      <c r="Q47" s="2949">
        <v>1</v>
      </c>
      <c r="R47" s="1049"/>
      <c r="S47" s="1734"/>
      <c r="T47" s="2091"/>
      <c r="U47" s="2076"/>
      <c r="V47" s="2989"/>
      <c r="W47" s="2989"/>
      <c r="X47" s="2989"/>
      <c r="Y47" s="2989"/>
      <c r="Z47" s="2989"/>
      <c r="AA47" s="2990"/>
      <c r="AB47" s="2652"/>
      <c r="AC47" s="2989"/>
      <c r="AD47" s="2989"/>
      <c r="AE47" s="2989"/>
      <c r="AF47" s="2989"/>
      <c r="AG47" s="2989"/>
      <c r="AH47" s="2989"/>
      <c r="AI47" s="2989"/>
      <c r="AJ47" s="2990"/>
      <c r="AK47" s="2077"/>
      <c r="AM47" s="2316"/>
      <c r="AN47" s="2316" t="str">
        <f>IF(T47="","",T47)</f>
        <v/>
      </c>
      <c r="AO47" s="2316"/>
      <c r="AP47" s="2316"/>
      <c r="AQ47" s="2328">
        <v>0</v>
      </c>
    </row>
    <row customHeight="1" ht="22.049999999999997">
      <c r="A48" s="1959" t="s">
        <v>281</v>
      </c>
      <c r="B48" s="1959" t="s">
        <v>282</v>
      </c>
      <c r="C48" s="1959" t="s">
        <v>283</v>
      </c>
      <c r="D48" s="1959" t="s">
        <v>284</v>
      </c>
      <c r="E48" s="2982"/>
      <c r="F48" s="2982"/>
      <c r="G48" s="2982"/>
      <c r="H48" s="2982"/>
      <c r="I48" s="2793"/>
      <c r="J48" s="2793"/>
      <c r="K48" s="2633" t="str">
        <f>S45&amp;".1"</f>
        <v>....1</v>
      </c>
      <c r="L48" s="2002"/>
      <c r="P48" s="2949"/>
      <c r="Q48" s="2949"/>
      <c r="R48" s="1049">
        <v>1</v>
      </c>
      <c r="S48" s="2654" t="str">
        <f>$K48</f>
        <v>....1</v>
      </c>
      <c r="T48" s="2653"/>
      <c r="U48" s="992"/>
      <c r="V48" s="1443"/>
      <c r="W48" s="1949"/>
      <c r="X48" s="2647"/>
      <c r="Y48" s="2634" t="s">
        <v>67</v>
      </c>
      <c r="Z48" s="2647"/>
      <c r="AA48" s="2634" t="s">
        <v>67</v>
      </c>
      <c r="AB48" s="2656"/>
      <c r="AC48" s="2655" t="s">
        <v>28</v>
      </c>
      <c r="AD48" s="1443"/>
      <c r="AE48" s="1949"/>
      <c r="AF48" s="2647"/>
      <c r="AG48" s="2634" t="s">
        <v>67</v>
      </c>
      <c r="AH48" s="2647"/>
      <c r="AI48" s="2634" t="s">
        <v>67</v>
      </c>
      <c r="AJ48" s="2040"/>
      <c r="AK48" s="2945" t="s">
        <v>554</v>
      </c>
      <c r="AL48" s="2328">
        <f>STRCHECKDATE(#REF!)</f>
      </c>
      <c r="AM48" s="2316"/>
      <c r="AN48" s="2316" t="str">
        <f>IF(T48="","",T48)</f>
        <v/>
      </c>
      <c r="AO48" s="2316"/>
      <c r="AP48" s="2316"/>
      <c r="AQ48" s="2323">
        <v>21</v>
      </c>
    </row>
    <row customHeight="1" ht="11.549999999999999">
      <c r="A49" s="1959" t="s">
        <v>281</v>
      </c>
      <c r="B49" s="1959" t="s">
        <v>282</v>
      </c>
      <c r="C49" s="1959" t="s">
        <v>283</v>
      </c>
      <c r="D49" s="1959" t="s">
        <v>284</v>
      </c>
      <c r="E49" s="2982"/>
      <c r="F49" s="2982"/>
      <c r="G49" s="2982"/>
      <c r="H49" s="2982"/>
      <c r="I49" s="2793"/>
      <c r="J49" s="2819"/>
      <c r="K49" s="1959"/>
      <c r="L49" s="2002"/>
      <c r="P49" s="2949"/>
      <c r="Q49" s="2949"/>
      <c r="R49" s="1048"/>
      <c r="S49" s="1970"/>
      <c r="T49" s="979" t="s">
        <v>542</v>
      </c>
      <c r="U49" s="1292"/>
      <c r="V49" s="1292"/>
      <c r="W49" s="1292"/>
      <c r="X49" s="1292"/>
      <c r="Y49" s="1292"/>
      <c r="Z49" s="1292"/>
      <c r="AA49" s="1016"/>
      <c r="AB49" s="1292"/>
      <c r="AC49" s="1292"/>
      <c r="AD49" s="1292"/>
      <c r="AE49" s="1292"/>
      <c r="AF49" s="1292"/>
      <c r="AG49" s="1292"/>
      <c r="AH49" s="1292"/>
      <c r="AI49" s="1292"/>
      <c r="AJ49" s="1016"/>
      <c r="AK49" s="2947"/>
      <c r="AM49" s="2316"/>
      <c r="AN49" s="2316" t="str">
        <f>IF(T49="","",T49)</f>
        <v>Добавить строку</v>
      </c>
      <c r="AO49" s="2316"/>
      <c r="AP49" s="2316"/>
      <c r="AQ49" s="2323">
        <v>11</v>
      </c>
    </row>
    <row s="61695" customFormat="1" customHeight="1" ht="1.05">
      <c r="A50" s="2067" t="s">
        <v>281</v>
      </c>
      <c r="B50" s="2067" t="s">
        <v>282</v>
      </c>
      <c r="C50" s="2067" t="s">
        <v>283</v>
      </c>
      <c r="D50" s="2067" t="s">
        <v>284</v>
      </c>
      <c r="E50" s="2982"/>
      <c r="F50" s="2982"/>
      <c r="G50" s="2982"/>
      <c r="H50" s="2982"/>
      <c r="I50" s="2819"/>
      <c r="J50" s="2067"/>
      <c r="K50" s="2067"/>
      <c r="L50" s="2073"/>
      <c r="M50" s="1938"/>
      <c r="N50" s="1938"/>
      <c r="O50" s="1938"/>
      <c r="P50" s="2949"/>
      <c r="Q50" s="2646"/>
      <c r="R50" s="1048"/>
      <c r="S50" s="2078"/>
      <c r="T50" s="2079" t="s">
        <v>487</v>
      </c>
      <c r="U50" s="2080"/>
      <c r="V50" s="2080"/>
      <c r="W50" s="2080"/>
      <c r="X50" s="2080"/>
      <c r="Y50" s="2080"/>
      <c r="Z50" s="2080"/>
      <c r="AA50" s="2080"/>
      <c r="AB50" s="2080"/>
      <c r="AC50" s="2080"/>
      <c r="AD50" s="2080"/>
      <c r="AE50" s="2080"/>
      <c r="AF50" s="2080"/>
      <c r="AG50" s="2080"/>
      <c r="AH50" s="2080"/>
      <c r="AI50" s="2080"/>
      <c r="AJ50" s="2080"/>
      <c r="AK50" s="2081"/>
      <c r="AM50" s="2316"/>
      <c r="AN50" s="2316" t="str">
        <f>IF(T50="","",T50)</f>
        <v>Добавить группу потребителей</v>
      </c>
      <c r="AO50" s="2316"/>
      <c r="AP50" s="2316"/>
      <c r="AQ50" s="2328">
        <v>1</v>
      </c>
    </row>
    <row s="61193" customFormat="1" customHeight="1" ht="1.05">
      <c r="A51" s="2067" t="s">
        <v>281</v>
      </c>
      <c r="B51" s="2067" t="s">
        <v>282</v>
      </c>
      <c r="C51" s="2067" t="s">
        <v>283</v>
      </c>
      <c r="D51" s="2067" t="s">
        <v>284</v>
      </c>
      <c r="E51" s="2982"/>
      <c r="F51" s="2982"/>
      <c r="G51" s="2982"/>
      <c r="H51" s="2981"/>
      <c r="I51" s="2067"/>
      <c r="J51" s="2067"/>
      <c r="K51" s="2067"/>
      <c r="L51" s="2073"/>
      <c r="M51" s="2070"/>
      <c r="N51" s="2070"/>
      <c r="O51" s="1043"/>
      <c r="P51" s="1072"/>
      <c r="Q51" s="2036"/>
      <c r="R51" s="2092"/>
      <c r="S51" s="2078"/>
      <c r="T51" s="2079"/>
      <c r="U51" s="2080"/>
      <c r="V51" s="2080"/>
      <c r="W51" s="2080"/>
      <c r="X51" s="2080"/>
      <c r="Y51" s="2080"/>
      <c r="Z51" s="2080"/>
      <c r="AA51" s="2080"/>
      <c r="AB51" s="2080"/>
      <c r="AC51" s="2080"/>
      <c r="AD51" s="2080"/>
      <c r="AE51" s="2080"/>
      <c r="AF51" s="2080"/>
      <c r="AG51" s="2080"/>
      <c r="AH51" s="2080"/>
      <c r="AI51" s="2080"/>
      <c r="AJ51" s="2080"/>
      <c r="AK51" s="2081"/>
      <c r="AL51" s="2328"/>
      <c r="AM51" s="2316"/>
      <c r="AN51" s="2316" t="str">
        <f>IF(T51="","",T51)</f>
        <v/>
      </c>
      <c r="AO51" s="2316"/>
      <c r="AP51" s="2316"/>
      <c r="AQ51" s="2333">
        <v>1</v>
      </c>
    </row>
    <row s="61695" customFormat="1" customHeight="1" ht="1.05">
      <c r="A52" s="2067" t="s">
        <v>281</v>
      </c>
      <c r="B52" s="2067" t="s">
        <v>282</v>
      </c>
      <c r="C52" s="2067" t="s">
        <v>283</v>
      </c>
      <c r="D52" s="2066"/>
      <c r="E52" s="2982"/>
      <c r="F52" s="2982"/>
      <c r="G52" s="2981"/>
      <c r="H52" s="2066"/>
      <c r="I52" s="2066"/>
      <c r="J52" s="2066"/>
      <c r="K52" s="2066"/>
      <c r="L52" s="2069"/>
      <c r="M52" s="2070"/>
      <c r="N52" s="2070"/>
      <c r="O52" s="1043"/>
      <c r="P52" s="2008"/>
      <c r="Q52" s="2009"/>
      <c r="R52" s="2008"/>
      <c r="S52" s="2014"/>
      <c r="T52" s="2017" t="s">
        <v>171</v>
      </c>
      <c r="U52" s="2016"/>
      <c r="V52" s="2016"/>
      <c r="W52" s="2016"/>
      <c r="X52" s="2016"/>
      <c r="Y52" s="2016"/>
      <c r="Z52" s="2016"/>
      <c r="AA52" s="2016"/>
      <c r="AB52" s="2016"/>
      <c r="AC52" s="2016"/>
      <c r="AD52" s="2016"/>
      <c r="AE52" s="2016"/>
      <c r="AF52" s="2016"/>
      <c r="AG52" s="2016"/>
      <c r="AH52" s="2016"/>
      <c r="AI52" s="2016"/>
      <c r="AJ52" s="2016"/>
      <c r="AK52" s="2016"/>
      <c r="AM52" s="1943"/>
      <c r="AN52" s="1943" t="str">
        <f>IF(T52="","",T52)</f>
        <v>Добавить источник для дифференциации</v>
      </c>
      <c r="AO52" s="1943"/>
      <c r="AP52" s="1943"/>
      <c r="AQ52" s="2334">
        <v>1</v>
      </c>
    </row>
    <row s="61695" customFormat="1" customHeight="1" ht="1.05">
      <c r="A53" s="2067" t="s">
        <v>281</v>
      </c>
      <c r="B53" s="2067" t="s">
        <v>282</v>
      </c>
      <c r="C53" s="2066"/>
      <c r="D53" s="2066"/>
      <c r="E53" s="2982"/>
      <c r="F53" s="2981"/>
      <c r="G53" s="2066"/>
      <c r="H53" s="2066"/>
      <c r="I53" s="2066"/>
      <c r="J53" s="2066"/>
      <c r="K53" s="2066"/>
      <c r="L53" s="2069"/>
      <c r="M53" s="2071"/>
      <c r="N53" s="2071"/>
      <c r="O53" s="1043"/>
      <c r="P53" s="2008"/>
      <c r="Q53" s="2009"/>
      <c r="R53" s="2008"/>
      <c r="S53" s="2014"/>
      <c r="T53" s="2017" t="s">
        <v>172</v>
      </c>
      <c r="U53" s="2016"/>
      <c r="V53" s="2016"/>
      <c r="W53" s="2016"/>
      <c r="X53" s="2016"/>
      <c r="Y53" s="2016"/>
      <c r="Z53" s="2016"/>
      <c r="AA53" s="2016"/>
      <c r="AB53" s="2016"/>
      <c r="AC53" s="2016"/>
      <c r="AD53" s="2016"/>
      <c r="AE53" s="2016"/>
      <c r="AF53" s="2016"/>
      <c r="AG53" s="2016"/>
      <c r="AH53" s="2016"/>
      <c r="AI53" s="2016"/>
      <c r="AJ53" s="2016"/>
      <c r="AK53" s="2016"/>
      <c r="AM53" s="1943"/>
      <c r="AN53" s="1943" t="str">
        <f>IF(T53="","",T53)</f>
        <v>Добавить централизованную систему для дифференциации</v>
      </c>
      <c r="AO53" s="1943"/>
      <c r="AP53" s="1943"/>
      <c r="AQ53" s="2334">
        <v>1</v>
      </c>
    </row>
    <row s="61695" customFormat="1" customHeight="1" ht="1.05">
      <c r="A54" s="2067" t="s">
        <v>281</v>
      </c>
      <c r="B54" s="2067"/>
      <c r="C54" s="2067"/>
      <c r="D54" s="2067"/>
      <c r="E54" s="2982"/>
      <c r="F54" s="2067"/>
      <c r="G54" s="2067"/>
      <c r="H54" s="2067"/>
      <c r="I54" s="2067"/>
      <c r="J54" s="2067"/>
      <c r="K54" s="2067"/>
      <c r="L54" s="2073"/>
      <c r="M54" s="2071"/>
      <c r="N54" s="2071"/>
      <c r="O54" s="1043"/>
      <c r="P54" s="1072"/>
      <c r="Q54" s="2036"/>
      <c r="R54" s="1072"/>
      <c r="S54" s="2014"/>
      <c r="T54" s="2017" t="s">
        <v>173</v>
      </c>
      <c r="U54" s="2016"/>
      <c r="V54" s="2016"/>
      <c r="W54" s="2016"/>
      <c r="X54" s="2016"/>
      <c r="Y54" s="2016"/>
      <c r="Z54" s="2016"/>
      <c r="AA54" s="2016"/>
      <c r="AB54" s="2016"/>
      <c r="AC54" s="2016"/>
      <c r="AD54" s="2016"/>
      <c r="AE54" s="2016"/>
      <c r="AF54" s="2016"/>
      <c r="AG54" s="2016"/>
      <c r="AH54" s="2016"/>
      <c r="AI54" s="2016"/>
      <c r="AJ54" s="2016"/>
      <c r="AK54" s="2016"/>
      <c r="AM54" s="2316"/>
      <c r="AN54" s="2316" t="str">
        <f>IF(T54="","",T54)</f>
        <v>Добавить территорию для дифференциации</v>
      </c>
      <c r="AO54" s="2316"/>
      <c r="AP54" s="2316"/>
      <c r="AQ54" s="2328">
        <v>1</v>
      </c>
    </row>
    <row s="61695" customFormat="1" customHeight="1" ht="1.05">
      <c r="A55" s="2067" t="s">
        <v>281</v>
      </c>
      <c r="B55" s="2067"/>
      <c r="C55" s="2067"/>
      <c r="D55" s="2067"/>
      <c r="E55" s="2981"/>
      <c r="F55" s="2067"/>
      <c r="G55" s="2067"/>
      <c r="H55" s="2067"/>
      <c r="I55" s="2067"/>
      <c r="J55" s="2067"/>
      <c r="K55" s="2067"/>
      <c r="L55" s="2073"/>
      <c r="M55" s="2071"/>
      <c r="N55" s="2071"/>
      <c r="O55" s="1043"/>
      <c r="P55" s="1072"/>
      <c r="Q55" s="2036"/>
      <c r="R55" s="1072"/>
      <c r="S55" s="2014"/>
      <c r="T55" s="2017" t="s">
        <v>173</v>
      </c>
      <c r="U55" s="2016"/>
      <c r="V55" s="2016"/>
      <c r="W55" s="2016"/>
      <c r="X55" s="2016"/>
      <c r="Y55" s="2016"/>
      <c r="Z55" s="2016"/>
      <c r="AA55" s="2016"/>
      <c r="AB55" s="2016"/>
      <c r="AC55" s="2016"/>
      <c r="AD55" s="2016"/>
      <c r="AE55" s="2016"/>
      <c r="AF55" s="2016"/>
      <c r="AG55" s="2016"/>
      <c r="AH55" s="2016"/>
      <c r="AI55" s="2016"/>
      <c r="AJ55" s="2016"/>
      <c r="AK55" s="2016"/>
      <c r="AM55" s="2316"/>
      <c r="AN55" s="2316" t="str">
        <f>IF(T55="","",T55)</f>
        <v>Добавить территорию для дифференциации</v>
      </c>
      <c r="AO55" s="2316"/>
      <c r="AP55" s="2316"/>
      <c r="AQ55" s="2328">
        <v>1</v>
      </c>
    </row>
    <row s="61695" customFormat="1" customHeight="1" ht="1.05">
      <c r="A56" s="2066"/>
      <c r="B56" s="2066"/>
      <c r="C56" s="2066"/>
      <c r="D56" s="2066"/>
      <c r="E56" s="2067"/>
      <c r="F56" s="2066"/>
      <c r="G56" s="2066"/>
      <c r="H56" s="2066"/>
      <c r="I56" s="2066"/>
      <c r="J56" s="2066"/>
      <c r="K56" s="2066"/>
      <c r="L56" s="2069"/>
      <c r="M56" s="2071"/>
      <c r="N56" s="2071"/>
      <c r="O56" s="1043"/>
      <c r="P56" s="2008"/>
      <c r="Q56" s="2009"/>
      <c r="R56" s="2008"/>
      <c r="S56" s="2014"/>
      <c r="T56" s="2017" t="s">
        <v>186</v>
      </c>
      <c r="U56" s="2016"/>
      <c r="V56" s="2016"/>
      <c r="W56" s="2016"/>
      <c r="X56" s="2016"/>
      <c r="Y56" s="2016"/>
      <c r="Z56" s="2016"/>
      <c r="AA56" s="2016"/>
      <c r="AB56" s="2016"/>
      <c r="AC56" s="2016"/>
      <c r="AD56" s="2016"/>
      <c r="AE56" s="2016"/>
      <c r="AF56" s="2016"/>
      <c r="AG56" s="2016"/>
      <c r="AH56" s="2016"/>
      <c r="AI56" s="2016"/>
      <c r="AJ56" s="2016"/>
      <c r="AK56" s="2016"/>
      <c r="AM56" s="1943"/>
      <c r="AN56" s="1943" t="str">
        <f>IF(T56="","",T56)</f>
        <v>Добавить наименование тарифа</v>
      </c>
      <c r="AO56" s="1943"/>
      <c r="AP56" s="1943"/>
      <c r="AQ56" s="2334">
        <v>1</v>
      </c>
    </row>
    <row customHeight="1" ht="11.549999999999999">
      <c r="M57" s="2323"/>
      <c r="N57" s="2323"/>
      <c r="O57" s="2327"/>
      <c r="P57" s="2058"/>
      <c r="Q57" s="2058"/>
      <c r="R57" s="2323"/>
      <c r="S57" s="2323"/>
      <c r="AL57" s="2323"/>
      <c r="AM57" s="2323"/>
      <c r="AN57" s="2323"/>
      <c r="AO57" s="2323"/>
      <c r="AP57" s="2323"/>
      <c r="AQ57" s="2323">
        <v>11</v>
      </c>
    </row>
    <row customHeight="1" ht="19.95">
      <c r="O58" s="2327"/>
      <c r="S58" s="1945"/>
      <c r="T58" s="2977"/>
      <c r="U58" s="2977"/>
      <c r="V58" s="2977"/>
      <c r="W58" s="2977"/>
      <c r="X58" s="2977"/>
      <c r="Y58" s="2977"/>
      <c r="Z58" s="2977"/>
      <c r="AA58" s="2977"/>
      <c r="AB58" s="2977"/>
      <c r="AC58" s="2977"/>
      <c r="AD58" s="2977"/>
      <c r="AE58" s="2977"/>
      <c r="AF58" s="2977"/>
      <c r="AG58" s="2977"/>
      <c r="AH58" s="2977"/>
      <c r="AI58" s="2977"/>
      <c r="AJ58" s="2977"/>
      <c r="AK58" s="2977"/>
      <c r="AQ58" s="2323">
        <v>19</v>
      </c>
    </row>
    <row customHeight="1" ht="21">
      <c r="O59" s="2327"/>
      <c r="T59" s="2977"/>
      <c r="U59" s="2977"/>
      <c r="V59" s="2977"/>
      <c r="W59" s="2977"/>
      <c r="X59" s="2977"/>
      <c r="Y59" s="2977"/>
      <c r="Z59" s="2977"/>
      <c r="AA59" s="2977"/>
      <c r="AB59" s="2977"/>
      <c r="AC59" s="2977"/>
      <c r="AD59" s="2977"/>
      <c r="AE59" s="2977"/>
      <c r="AF59" s="2977"/>
      <c r="AG59" s="2977"/>
      <c r="AH59" s="2977"/>
      <c r="AI59" s="2977"/>
      <c r="AJ59" s="2977"/>
      <c r="AK59" s="2977"/>
      <c r="AQ59" s="2323">
        <v>20</v>
      </c>
    </row>
    <row customHeight="1" ht="14.699999999999998">
      <c r="O60" s="2327"/>
      <c r="T60" s="2645"/>
      <c r="U60" s="2645"/>
      <c r="V60" s="2645"/>
      <c r="W60" s="2645"/>
      <c r="X60" s="2645"/>
      <c r="Y60" s="2645"/>
      <c r="Z60" s="2645"/>
      <c r="AA60" s="2645"/>
      <c r="AB60" s="2645"/>
      <c r="AC60" s="2645"/>
      <c r="AD60" s="2645"/>
      <c r="AE60" s="2645"/>
      <c r="AF60" s="2645"/>
      <c r="AG60" s="2645"/>
      <c r="AH60" s="2645"/>
      <c r="AI60" s="2645"/>
      <c r="AJ60" s="2645"/>
      <c r="AK60" s="2645"/>
      <c r="AQ60" s="2323">
        <v>14</v>
      </c>
    </row>
    <row customHeight="1" ht="19.95">
      <c r="O61" s="2327"/>
      <c r="T61" s="2977"/>
      <c r="U61" s="2977"/>
      <c r="V61" s="2977"/>
      <c r="W61" s="2977"/>
      <c r="X61" s="2977"/>
      <c r="Y61" s="2977"/>
      <c r="Z61" s="2977"/>
      <c r="AA61" s="2977"/>
      <c r="AB61" s="2977"/>
      <c r="AC61" s="2977"/>
      <c r="AD61" s="2977"/>
      <c r="AE61" s="2977"/>
      <c r="AF61" s="2977"/>
      <c r="AG61" s="2977"/>
      <c r="AH61" s="2977"/>
      <c r="AI61" s="2977"/>
      <c r="AJ61" s="2977"/>
      <c r="AK61" s="2977"/>
      <c r="AQ61" s="2323">
        <v>19</v>
      </c>
    </row>
    <row customHeight="1" ht="16.8">
      <c r="O62" s="2327"/>
      <c r="T62" s="2977"/>
      <c r="U62" s="2977"/>
      <c r="V62" s="2977"/>
      <c r="W62" s="2977"/>
      <c r="X62" s="2977"/>
      <c r="Y62" s="2977"/>
      <c r="Z62" s="2977"/>
      <c r="AA62" s="2977"/>
      <c r="AB62" s="2977"/>
      <c r="AC62" s="2977"/>
      <c r="AD62" s="2977"/>
      <c r="AE62" s="2977"/>
      <c r="AF62" s="2977"/>
      <c r="AG62" s="2977"/>
      <c r="AH62" s="2977"/>
      <c r="AI62" s="2977"/>
      <c r="AJ62" s="2977"/>
      <c r="AK62" s="2977"/>
      <c r="AQ62" s="2323">
        <v>16</v>
      </c>
    </row>
    <row customHeight="1" ht="14.699999999999998">
      <c r="O63" s="2327"/>
      <c r="AQ63" s="2323">
        <v>14</v>
      </c>
    </row>
    <row customHeight="1" ht="22.5" hidden="1">
      <c r="A64" s="2323" t="s">
        <v>83</v>
      </c>
      <c r="B64" s="2323">
        <v>0</v>
      </c>
      <c r="C64" s="2323">
        <v>0</v>
      </c>
      <c r="D64" s="2323">
        <v>0</v>
      </c>
      <c r="E64" s="2323">
        <v>0</v>
      </c>
      <c r="F64" s="2323">
        <v>0</v>
      </c>
      <c r="G64" s="2323">
        <v>0</v>
      </c>
      <c r="H64" s="2323">
        <v>0</v>
      </c>
      <c r="I64" s="2323">
        <v>0</v>
      </c>
      <c r="J64" s="2323">
        <v>0</v>
      </c>
      <c r="K64" s="2323">
        <v>0</v>
      </c>
      <c r="L64" s="2631">
        <v>0</v>
      </c>
      <c r="M64" s="2657">
        <v>0</v>
      </c>
      <c r="N64" s="2657">
        <v>0</v>
      </c>
      <c r="O64" s="2657">
        <v>0</v>
      </c>
      <c r="P64" s="2054">
        <v>3</v>
      </c>
      <c r="Q64" s="2063">
        <v>3</v>
      </c>
      <c r="R64" s="1036">
        <v>3</v>
      </c>
      <c r="S64" s="1273">
        <v>12</v>
      </c>
      <c r="T64" s="2323">
        <v>31</v>
      </c>
      <c r="U64" s="2323">
        <v>0</v>
      </c>
      <c r="V64" s="2323">
        <v>0</v>
      </c>
      <c r="W64" s="2323">
        <v>0</v>
      </c>
      <c r="X64" s="2323">
        <v>0</v>
      </c>
      <c r="Y64" s="2323">
        <v>0</v>
      </c>
      <c r="Z64" s="2323">
        <v>0</v>
      </c>
      <c r="AA64" s="2323">
        <v>0</v>
      </c>
      <c r="AB64" s="2323">
        <v>27</v>
      </c>
      <c r="AC64" s="2323">
        <v>24</v>
      </c>
      <c r="AD64" s="2323">
        <v>21</v>
      </c>
      <c r="AE64" s="2323">
        <v>21</v>
      </c>
      <c r="AF64" s="2323">
        <v>11</v>
      </c>
      <c r="AG64" s="2323">
        <v>3</v>
      </c>
      <c r="AH64" s="2323">
        <v>11</v>
      </c>
      <c r="AI64" s="2323">
        <v>8</v>
      </c>
      <c r="AJ64" s="2323">
        <v>4</v>
      </c>
      <c r="AK64" s="2323">
        <v>115</v>
      </c>
      <c r="AL64" s="2328">
        <v>10</v>
      </c>
      <c r="AM64" s="2328">
        <v>10</v>
      </c>
      <c r="AN64" s="2328">
        <v>10</v>
      </c>
      <c r="AO64" s="2328">
        <v>10</v>
      </c>
      <c r="AP64" s="2328">
        <v>10</v>
      </c>
      <c r="AQ64" s="2323">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60F5BF-5DD4-95BA-D264-658AFDB943E3}"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62148" width="11.57421875" hidden="1" customWidth="1"/>
    <col min="2" max="2" style="62148" width="11.00390625" hidden="1" customWidth="1"/>
    <col min="3" max="3" style="62148" width="10.57421875" hidden="1"/>
    <col min="4" max="4" style="62148" width="12.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2.00390625" hidden="1" customWidth="1"/>
    <col min="10" max="10" style="62148" width="9.8515625" hidden="1" customWidth="1"/>
    <col min="11" max="11" style="62148" width="11.421875" hidden="1" customWidth="1"/>
    <col min="12" max="12" style="63164" width="19.140625" hidden="1" customWidth="1"/>
    <col min="13" max="14" style="61371" width="12.28125" hidden="1" customWidth="1"/>
    <col min="15" max="15" style="61371" width="23.421875" hidden="1" customWidth="1"/>
    <col min="16" max="16" style="61371" width="3.7109375" hidden="1" customWidth="1"/>
    <col min="17" max="17" style="61437" width="3.7109375" hidden="1" customWidth="1"/>
    <col min="18" max="18" style="62288" width="3.00390625" customWidth="1"/>
    <col min="19" max="19" style="63156" width="12.00390625" customWidth="1"/>
    <col min="20" max="20" style="62286" width="31.00390625" customWidth="1"/>
    <col min="21" max="21" style="62286" width="0.140625" customWidth="1"/>
    <col min="22" max="25" style="62286" width="21.7109375" hidden="1" customWidth="1"/>
    <col min="26" max="26" style="62286" width="11.7109375" hidden="1" customWidth="1"/>
    <col min="27" max="27" style="62286" width="3.7109375" hidden="1" customWidth="1"/>
    <col min="28" max="28" style="62286" width="11.7109375" hidden="1" customWidth="1"/>
    <col min="29" max="29" style="62286" width="8.57421875" hidden="1" customWidth="1"/>
    <col min="30" max="30" style="62286" width="3.7109375" customWidth="1"/>
    <col min="31" max="32" style="62286" width="3.00390625" customWidth="1"/>
    <col min="33" max="33" style="62286" width="24.00390625" customWidth="1"/>
    <col min="34" max="34" style="62286" width="3.7109375" customWidth="1"/>
    <col min="35" max="36" style="62286" width="3.00390625" customWidth="1"/>
    <col min="37" max="37" style="62286" width="24.00390625" customWidth="1"/>
    <col min="38" max="38" style="62286" width="3.7109375" customWidth="1"/>
    <col min="39" max="40" style="62286" width="3.00390625" customWidth="1"/>
    <col min="41" max="41" style="62286" width="18.00390625" customWidth="1"/>
    <col min="42" max="42" style="62286" width="3.7109375" customWidth="1"/>
    <col min="43" max="44" style="62286" width="3.00390625" customWidth="1"/>
    <col min="45" max="45" style="62286" width="18.00390625" customWidth="1"/>
    <col min="46" max="49" style="62286" width="21.00390625" customWidth="1"/>
    <col min="50" max="50" style="62286" width="11.00390625" customWidth="1"/>
    <col min="51" max="51" style="62286" width="3.7109375" customWidth="1"/>
    <col min="52" max="52" style="62286" width="11.00390625" customWidth="1"/>
    <col min="53" max="53" style="62286" width="8.57421875" hidden="1" customWidth="1"/>
    <col min="54" max="54" style="62286" width="4.00390625" customWidth="1"/>
    <col min="55" max="55" style="62286" width="115.00390625" customWidth="1"/>
    <col min="56" max="60" style="61695" width="10.00390625" customWidth="1"/>
    <col min="61" max="61" style="62286" width="10.57421875" hidden="1"/>
  </cols>
  <sheetData>
    <row customHeight="1" ht="22.5" hidden="1">
      <c r="W1" s="1019"/>
      <c r="Y1" s="1019"/>
      <c r="Z1" s="1019"/>
      <c r="AW1" s="1019"/>
      <c r="AX1" s="1019"/>
      <c r="BI1" s="1847" t="s">
        <v>14</v>
      </c>
    </row>
    <row customHeight="1" ht="21" hidden="1">
      <c r="A2" s="2055"/>
      <c r="B2" s="2055"/>
      <c r="C2" s="2055"/>
      <c r="D2" s="2055"/>
      <c r="E2" s="2950">
        <v>1</v>
      </c>
      <c r="F2" s="2055"/>
      <c r="G2" s="2055"/>
      <c r="H2" s="2055"/>
      <c r="I2" s="2055"/>
      <c r="J2" s="2055"/>
      <c r="K2" s="2055"/>
      <c r="L2" s="2056"/>
      <c r="M2" s="2057"/>
      <c r="N2" s="2057"/>
      <c r="O2" s="2057"/>
      <c r="P2" s="2101"/>
      <c r="Q2" s="1565"/>
      <c r="R2" s="1047"/>
      <c r="S2" s="2157">
        <f>INDEX(PT_DIFFERENTIATION_NUM_NTAR,MATCH(A2,PT_DIFFERENTIATION_NTAR_ID,0))</f>
      </c>
      <c r="T2" s="990" t="s">
        <v>131</v>
      </c>
      <c r="U2" s="992"/>
      <c r="V2" s="2935"/>
      <c r="W2" s="2935"/>
      <c r="X2" s="2935"/>
      <c r="Y2" s="2935"/>
      <c r="Z2" s="2935"/>
      <c r="AA2" s="2935"/>
      <c r="AB2" s="2935"/>
      <c r="AC2" s="2936"/>
      <c r="AD2" s="2934">
        <f>INDEX(PT_DIFFERENTIATION_NTAR,MATCH(A2,PT_DIFFERENTIATION_NTAR_ID,0))</f>
      </c>
      <c r="AE2" s="2935"/>
      <c r="AF2" s="2935"/>
      <c r="AG2" s="2935"/>
      <c r="AH2" s="2935"/>
      <c r="AI2" s="2935"/>
      <c r="AJ2" s="2935"/>
      <c r="AK2" s="2935"/>
      <c r="AL2" s="2935"/>
      <c r="AM2" s="2935"/>
      <c r="AN2" s="2935"/>
      <c r="AO2" s="2935"/>
      <c r="AP2" s="2935"/>
      <c r="AQ2" s="2935"/>
      <c r="AR2" s="2935"/>
      <c r="AS2" s="2935"/>
      <c r="AT2" s="2935"/>
      <c r="AU2" s="2935"/>
      <c r="AV2" s="2935"/>
      <c r="AW2" s="2935"/>
      <c r="AX2" s="2935"/>
      <c r="AY2" s="2935"/>
      <c r="AZ2" s="2935"/>
      <c r="BA2" s="2935"/>
      <c r="BB2" s="2936"/>
      <c r="BC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92"/>
      <c r="BF2" s="1192" t="str">
        <f>IF(T2="","",T2)</f>
        <v>Наименование тарифа</v>
      </c>
      <c r="BG2" s="1192"/>
      <c r="BH2" s="1192"/>
      <c r="BI2" s="1847">
        <v>0</v>
      </c>
    </row>
    <row customHeight="1" ht="21" hidden="1">
      <c r="A3" s="2055"/>
      <c r="B3" s="2055"/>
      <c r="C3" s="2055"/>
      <c r="D3" s="2055"/>
      <c r="E3" s="2951"/>
      <c r="F3" s="2950">
        <v>1</v>
      </c>
      <c r="G3" s="2055"/>
      <c r="H3" s="2055"/>
      <c r="I3" s="2055"/>
      <c r="J3" s="2055"/>
      <c r="K3" s="2055"/>
      <c r="L3" s="2056"/>
      <c r="M3" s="2057"/>
      <c r="N3" s="2057"/>
      <c r="O3" s="2057"/>
      <c r="P3" s="2102"/>
      <c r="Q3" s="2103"/>
      <c r="R3" s="1045"/>
      <c r="S3" s="2157">
        <f>INDEX(PT_DIFFERENTIATION_NUM_TER,MATCH(B3,PT_DIFFERENTIATION_TER_ID,0))</f>
      </c>
      <c r="T3" s="1000" t="s">
        <v>472</v>
      </c>
      <c r="U3" s="992"/>
      <c r="V3" s="2935"/>
      <c r="W3" s="2935"/>
      <c r="X3" s="2935"/>
      <c r="Y3" s="2935"/>
      <c r="Z3" s="2935"/>
      <c r="AA3" s="2935"/>
      <c r="AB3" s="2935"/>
      <c r="AC3" s="2936"/>
      <c r="AD3" s="2934">
        <f>INDEX(PT_DIFFERENTIATION_TER,MATCH(B3,PT_DIFFERENTIATION_TER_ID,0))</f>
      </c>
      <c r="AE3" s="2935"/>
      <c r="AF3" s="2935"/>
      <c r="AG3" s="2935"/>
      <c r="AH3" s="2935"/>
      <c r="AI3" s="2935"/>
      <c r="AJ3" s="2935"/>
      <c r="AK3" s="2935"/>
      <c r="AL3" s="2935"/>
      <c r="AM3" s="2935"/>
      <c r="AN3" s="2935"/>
      <c r="AO3" s="2935"/>
      <c r="AP3" s="2935"/>
      <c r="AQ3" s="2935"/>
      <c r="AR3" s="2935"/>
      <c r="AS3" s="2935"/>
      <c r="AT3" s="2935"/>
      <c r="AU3" s="2935"/>
      <c r="AV3" s="2935"/>
      <c r="AW3" s="2935"/>
      <c r="AX3" s="2935"/>
      <c r="AY3" s="2935"/>
      <c r="AZ3" s="2935"/>
      <c r="BA3" s="2935"/>
      <c r="BB3" s="2936"/>
      <c r="BC3" s="1950" t="s">
        <v>473</v>
      </c>
      <c r="BE3" s="1192"/>
      <c r="BF3" s="1192" t="str">
        <f>IF(T3="","",T3)</f>
        <v>Территория действия тарифа</v>
      </c>
      <c r="BG3" s="1192"/>
      <c r="BH3" s="1192"/>
      <c r="BI3" s="1847">
        <v>0</v>
      </c>
    </row>
    <row customHeight="1" ht="42" hidden="1">
      <c r="A4" s="2055"/>
      <c r="B4" s="2055"/>
      <c r="C4" s="2055"/>
      <c r="D4" s="2055"/>
      <c r="E4" s="2951"/>
      <c r="F4" s="2951"/>
      <c r="G4" s="2950">
        <v>1</v>
      </c>
      <c r="H4" s="2055"/>
      <c r="I4" s="2055"/>
      <c r="J4" s="2055"/>
      <c r="K4" s="2055"/>
      <c r="L4" s="2056"/>
      <c r="M4" s="2057"/>
      <c r="N4" s="2057"/>
      <c r="O4" s="2057"/>
      <c r="P4" s="2104"/>
      <c r="Q4" s="2103"/>
      <c r="R4" s="1045"/>
      <c r="S4" s="2157">
        <f>INDEX(PT_DIFFERENTIATION_NUM_CS,MATCH(C4,PT_DIFFERENTIATION_CS_ID,0))</f>
      </c>
      <c r="T4" s="1001" t="s">
        <v>555</v>
      </c>
      <c r="U4" s="992"/>
      <c r="V4" s="2935"/>
      <c r="W4" s="2935"/>
      <c r="X4" s="2935"/>
      <c r="Y4" s="2935"/>
      <c r="Z4" s="2935"/>
      <c r="AA4" s="2935"/>
      <c r="AB4" s="2935"/>
      <c r="AC4" s="2936"/>
      <c r="AD4" s="2934">
        <f>INDEX(PT_DIFFERENTIATION_CS,MATCH(C4,PT_DIFFERENTIATION_CS_ID,0))</f>
      </c>
      <c r="AE4" s="2935"/>
      <c r="AF4" s="2935"/>
      <c r="AG4" s="2935"/>
      <c r="AH4" s="2935"/>
      <c r="AI4" s="2935"/>
      <c r="AJ4" s="2935"/>
      <c r="AK4" s="2935"/>
      <c r="AL4" s="2935"/>
      <c r="AM4" s="2935"/>
      <c r="AN4" s="2935"/>
      <c r="AO4" s="2935"/>
      <c r="AP4" s="2935"/>
      <c r="AQ4" s="2935"/>
      <c r="AR4" s="2935"/>
      <c r="AS4" s="2935"/>
      <c r="AT4" s="2935"/>
      <c r="AU4" s="2935"/>
      <c r="AV4" s="2935"/>
      <c r="AW4" s="2935"/>
      <c r="AX4" s="2935"/>
      <c r="AY4" s="2935"/>
      <c r="AZ4" s="2935"/>
      <c r="BA4" s="2935"/>
      <c r="BB4" s="2936"/>
      <c r="BC4" s="1950" t="s">
        <v>556</v>
      </c>
      <c r="BE4" s="1192"/>
      <c r="BF4" s="1192" t="str">
        <f>IF(T4="","",T4)</f>
        <v>Наименование централизованной системы холодного водоснабжения</v>
      </c>
      <c r="BG4" s="1192"/>
      <c r="BH4" s="1192"/>
      <c r="BI4" s="1847">
        <v>0</v>
      </c>
    </row>
    <row s="61695" customFormat="1" customHeight="1" ht="14.25" hidden="1">
      <c r="A5" s="2035"/>
      <c r="B5" s="2035"/>
      <c r="C5" s="2035"/>
      <c r="D5" s="2035"/>
      <c r="E5" s="2951"/>
      <c r="F5" s="2951"/>
      <c r="G5" s="2951"/>
      <c r="H5" s="2950">
        <v>1</v>
      </c>
      <c r="I5" s="2035"/>
      <c r="J5" s="2035"/>
      <c r="K5" s="2035"/>
      <c r="L5" s="2038"/>
      <c r="M5" s="2007"/>
      <c r="N5" s="2007"/>
      <c r="O5" s="2007"/>
      <c r="P5" s="2189"/>
      <c r="Q5" s="2190"/>
      <c r="R5" s="1049"/>
      <c r="S5" s="1734"/>
      <c r="T5" s="2191"/>
      <c r="U5" s="2076"/>
      <c r="V5" s="2989"/>
      <c r="W5" s="2989"/>
      <c r="X5" s="2989"/>
      <c r="Y5" s="2989"/>
      <c r="Z5" s="2989"/>
      <c r="AA5" s="2989"/>
      <c r="AB5" s="2989"/>
      <c r="AC5" s="2990"/>
      <c r="AD5" s="2988"/>
      <c r="AE5" s="2989"/>
      <c r="AF5" s="2989"/>
      <c r="AG5" s="2989"/>
      <c r="AH5" s="2989"/>
      <c r="AI5" s="2989"/>
      <c r="AJ5" s="2989"/>
      <c r="AK5" s="2989"/>
      <c r="AL5" s="2989"/>
      <c r="AM5" s="2989"/>
      <c r="AN5" s="2989"/>
      <c r="AO5" s="2989"/>
      <c r="AP5" s="2989"/>
      <c r="AQ5" s="2989"/>
      <c r="AR5" s="2989"/>
      <c r="AS5" s="2989"/>
      <c r="AT5" s="2989"/>
      <c r="AU5" s="2989"/>
      <c r="AV5" s="2989"/>
      <c r="AW5" s="2989"/>
      <c r="AX5" s="2989"/>
      <c r="AY5" s="2989"/>
      <c r="AZ5" s="2989"/>
      <c r="BA5" s="2989"/>
      <c r="BB5" s="2990"/>
      <c r="BC5" s="2077" t="s">
        <v>477</v>
      </c>
      <c r="BE5" s="1192"/>
      <c r="BF5" s="1192" t="str">
        <f>IF(T5="","",T5)</f>
        <v/>
      </c>
      <c r="BG5" s="1192"/>
      <c r="BH5" s="1192"/>
      <c r="BI5" s="1203">
        <v>0</v>
      </c>
    </row>
    <row s="61695" customFormat="1" customHeight="1" ht="14.25" hidden="1">
      <c r="A6" s="2035"/>
      <c r="B6" s="2035"/>
      <c r="C6" s="2035"/>
      <c r="D6" s="2035"/>
      <c r="E6" s="2951"/>
      <c r="F6" s="2951"/>
      <c r="G6" s="2951"/>
      <c r="H6" s="2951"/>
      <c r="I6" s="2948" t="str">
        <f>S5&amp;".1"</f>
        <v>.1</v>
      </c>
      <c r="J6" s="2035"/>
      <c r="K6" s="2035"/>
      <c r="L6" s="2038" t="s">
        <v>478</v>
      </c>
      <c r="M6" s="1202"/>
      <c r="N6" s="1202"/>
      <c r="O6" s="1202"/>
      <c r="P6" s="2949">
        <v>1</v>
      </c>
      <c r="Q6" s="2154"/>
      <c r="R6" s="1048"/>
      <c r="S6" s="1734"/>
      <c r="T6" s="2075"/>
      <c r="U6" s="2076"/>
      <c r="V6" s="2989"/>
      <c r="W6" s="2989"/>
      <c r="X6" s="2989"/>
      <c r="Y6" s="2989"/>
      <c r="Z6" s="2989"/>
      <c r="AA6" s="2989"/>
      <c r="AB6" s="2989"/>
      <c r="AC6" s="2990"/>
      <c r="AD6" s="2988"/>
      <c r="AE6" s="2989"/>
      <c r="AF6" s="2989"/>
      <c r="AG6" s="2989"/>
      <c r="AH6" s="2989"/>
      <c r="AI6" s="2989"/>
      <c r="AJ6" s="2989"/>
      <c r="AK6" s="2989"/>
      <c r="AL6" s="2989"/>
      <c r="AM6" s="2989"/>
      <c r="AN6" s="2989"/>
      <c r="AO6" s="2989"/>
      <c r="AP6" s="2989"/>
      <c r="AQ6" s="2989"/>
      <c r="AR6" s="2989"/>
      <c r="AS6" s="2989"/>
      <c r="AT6" s="2989"/>
      <c r="AU6" s="2989"/>
      <c r="AV6" s="2989"/>
      <c r="AW6" s="2989"/>
      <c r="AX6" s="2989"/>
      <c r="AY6" s="2989"/>
      <c r="AZ6" s="2989"/>
      <c r="BA6" s="2989"/>
      <c r="BB6" s="2990"/>
      <c r="BC6" s="2077"/>
      <c r="BE6" s="1192"/>
      <c r="BF6" s="1192" t="str">
        <f>IF(T6="","",T6)</f>
        <v/>
      </c>
      <c r="BG6" s="1192"/>
      <c r="BH6" s="1192"/>
      <c r="BI6" s="1203">
        <v>0</v>
      </c>
    </row>
    <row s="61695" customFormat="1" customHeight="1" ht="14.25" hidden="1">
      <c r="A7" s="2035"/>
      <c r="B7" s="2035"/>
      <c r="C7" s="2035"/>
      <c r="D7" s="2035"/>
      <c r="E7" s="2951"/>
      <c r="F7" s="2951"/>
      <c r="G7" s="2951"/>
      <c r="H7" s="2951"/>
      <c r="I7" s="2978"/>
      <c r="J7" s="2948" t="str">
        <f>S5&amp;".1"</f>
        <v>.1</v>
      </c>
      <c r="K7" s="2035"/>
      <c r="L7" s="2038"/>
      <c r="M7" s="1202"/>
      <c r="N7" s="1202"/>
      <c r="O7" s="1202"/>
      <c r="P7" s="2949"/>
      <c r="Q7" s="2949">
        <v>1</v>
      </c>
      <c r="R7" s="1049"/>
      <c r="S7" s="1734"/>
      <c r="T7" s="2091"/>
      <c r="U7" s="2076"/>
      <c r="V7" s="2989"/>
      <c r="W7" s="2989"/>
      <c r="X7" s="2989"/>
      <c r="Y7" s="2989"/>
      <c r="Z7" s="2989"/>
      <c r="AA7" s="2989"/>
      <c r="AB7" s="2989"/>
      <c r="AC7" s="2990"/>
      <c r="AD7" s="2988"/>
      <c r="AE7" s="2989"/>
      <c r="AF7" s="2989"/>
      <c r="AG7" s="2989"/>
      <c r="AH7" s="2989"/>
      <c r="AI7" s="2989"/>
      <c r="AJ7" s="2989"/>
      <c r="AK7" s="2989"/>
      <c r="AL7" s="2989"/>
      <c r="AM7" s="2989"/>
      <c r="AN7" s="2989"/>
      <c r="AO7" s="2989"/>
      <c r="AP7" s="2989"/>
      <c r="AQ7" s="2989"/>
      <c r="AR7" s="2989"/>
      <c r="AS7" s="2989"/>
      <c r="AT7" s="2989"/>
      <c r="AU7" s="2989"/>
      <c r="AV7" s="2989"/>
      <c r="AW7" s="2989"/>
      <c r="AX7" s="2989"/>
      <c r="AY7" s="2989"/>
      <c r="AZ7" s="2989"/>
      <c r="BA7" s="2989"/>
      <c r="BB7" s="2990"/>
      <c r="BC7" s="2077"/>
      <c r="BE7" s="1192"/>
      <c r="BF7" s="1192" t="str">
        <f>IF(T7="","",T7)</f>
        <v/>
      </c>
      <c r="BG7" s="1192"/>
      <c r="BH7" s="1192"/>
      <c r="BI7" s="1203">
        <v>0</v>
      </c>
    </row>
    <row customHeight="1" ht="11.25" hidden="1">
      <c r="A8" s="2055"/>
      <c r="B8" s="2055"/>
      <c r="C8" s="2055"/>
      <c r="D8" s="2055"/>
      <c r="E8" s="2951"/>
      <c r="F8" s="2951"/>
      <c r="G8" s="2951"/>
      <c r="H8" s="2951"/>
      <c r="I8" s="2978"/>
      <c r="J8" s="2978"/>
      <c r="K8" s="2948">
        <f>S4&amp;".1"</f>
      </c>
      <c r="L8" s="2056"/>
      <c r="P8" s="2949"/>
      <c r="Q8" s="2949"/>
      <c r="R8" s="3039">
        <v>1</v>
      </c>
      <c r="S8" s="3033">
        <f>$K8</f>
      </c>
      <c r="T8" s="3052"/>
      <c r="U8" s="992"/>
      <c r="V8" s="1443"/>
      <c r="W8" s="1949"/>
      <c r="X8" s="1443"/>
      <c r="Y8" s="1949"/>
      <c r="Z8" s="2426"/>
      <c r="AA8" s="2151" t="s">
        <v>67</v>
      </c>
      <c r="AB8" s="2426"/>
      <c r="AC8" s="2151" t="s">
        <v>67</v>
      </c>
      <c r="AD8" s="2877" t="s">
        <v>67</v>
      </c>
      <c r="AE8" s="3018"/>
      <c r="AF8" s="2897">
        <v>1</v>
      </c>
      <c r="AG8" s="3055"/>
      <c r="AH8" s="2799" t="s">
        <v>67</v>
      </c>
      <c r="AI8" s="3018"/>
      <c r="AJ8" s="2897">
        <v>1</v>
      </c>
      <c r="AK8" s="3019" t="s">
        <v>28</v>
      </c>
      <c r="AL8" s="2799" t="s">
        <v>67</v>
      </c>
      <c r="AM8" s="2884"/>
      <c r="AN8" s="2897">
        <v>1</v>
      </c>
      <c r="AO8" s="3049"/>
      <c r="AP8" s="3050" t="s">
        <v>67</v>
      </c>
      <c r="AQ8" s="1003"/>
      <c r="AR8" s="2155">
        <v>1</v>
      </c>
      <c r="AS8" s="2158" t="s">
        <v>28</v>
      </c>
      <c r="AT8" s="1443"/>
      <c r="AU8" s="1949"/>
      <c r="AV8" s="1443"/>
      <c r="AW8" s="1949"/>
      <c r="AX8" s="2426"/>
      <c r="AY8" s="2151" t="s">
        <v>67</v>
      </c>
      <c r="AZ8" s="2426"/>
      <c r="BA8" s="2151" t="s">
        <v>67</v>
      </c>
      <c r="BB8" s="2040"/>
      <c r="BC8" s="2945" t="s">
        <v>575</v>
      </c>
      <c r="BE8" s="1192"/>
      <c r="BF8" s="1192" t="str">
        <f>IF(T8="","",T8)</f>
        <v/>
      </c>
      <c r="BG8" s="1192"/>
      <c r="BH8" s="1192"/>
      <c r="BI8" s="1847">
        <v>0</v>
      </c>
    </row>
    <row customHeight="1" ht="11.25" hidden="1">
      <c r="A9" s="2055"/>
      <c r="B9" s="2055"/>
      <c r="C9" s="2055"/>
      <c r="D9" s="2055"/>
      <c r="E9" s="2951"/>
      <c r="F9" s="2951"/>
      <c r="G9" s="2951"/>
      <c r="H9" s="2951"/>
      <c r="I9" s="2978"/>
      <c r="J9" s="2978"/>
      <c r="K9" s="2948"/>
      <c r="L9" s="2056"/>
      <c r="P9" s="2949"/>
      <c r="Q9" s="2949"/>
      <c r="R9" s="3039"/>
      <c r="S9" s="3034"/>
      <c r="T9" s="3053"/>
      <c r="U9" s="992"/>
      <c r="V9" s="2085"/>
      <c r="W9" s="2188"/>
      <c r="X9" s="2085"/>
      <c r="Y9" s="2188"/>
      <c r="Z9" s="2085"/>
      <c r="AA9" s="2085"/>
      <c r="AB9" s="2085"/>
      <c r="AC9" s="2085"/>
      <c r="AD9" s="2878"/>
      <c r="AE9" s="3018"/>
      <c r="AF9" s="2897"/>
      <c r="AG9" s="3055"/>
      <c r="AH9" s="2799"/>
      <c r="AI9" s="3018"/>
      <c r="AJ9" s="2897"/>
      <c r="AK9" s="3019"/>
      <c r="AL9" s="2799"/>
      <c r="AM9" s="2892"/>
      <c r="AN9" s="2897"/>
      <c r="AO9" s="3049"/>
      <c r="AP9" s="3051"/>
      <c r="AQ9" s="1008"/>
      <c r="AR9" s="1108"/>
      <c r="AS9" s="1108" t="s">
        <v>576</v>
      </c>
      <c r="AT9" s="2085"/>
      <c r="AU9" s="2188"/>
      <c r="AV9" s="2085"/>
      <c r="AW9" s="2188"/>
      <c r="AX9" s="2085"/>
      <c r="AY9" s="2085"/>
      <c r="AZ9" s="2085"/>
      <c r="BA9" s="2085"/>
      <c r="BB9" s="2089"/>
      <c r="BC9" s="2946"/>
      <c r="BE9" s="1192"/>
      <c r="BF9" s="1192"/>
      <c r="BG9" s="1192"/>
      <c r="BH9" s="1192"/>
      <c r="BI9" s="1847">
        <v>0</v>
      </c>
    </row>
    <row customHeight="1" ht="11.25" hidden="1">
      <c r="A10" s="2055"/>
      <c r="B10" s="2055"/>
      <c r="C10" s="2055"/>
      <c r="D10" s="2055"/>
      <c r="E10" s="2951"/>
      <c r="F10" s="2951"/>
      <c r="G10" s="2951"/>
      <c r="H10" s="2951"/>
      <c r="I10" s="2978"/>
      <c r="J10" s="2978"/>
      <c r="K10" s="2948"/>
      <c r="L10" s="2056"/>
      <c r="P10" s="2949"/>
      <c r="Q10" s="2949"/>
      <c r="R10" s="3039"/>
      <c r="S10" s="3034"/>
      <c r="T10" s="3053"/>
      <c r="U10" s="992"/>
      <c r="V10" s="2085"/>
      <c r="W10" s="2188"/>
      <c r="X10" s="2085"/>
      <c r="Y10" s="2188"/>
      <c r="Z10" s="2085"/>
      <c r="AA10" s="2085"/>
      <c r="AB10" s="2085"/>
      <c r="AC10" s="2085"/>
      <c r="AD10" s="2878"/>
      <c r="AE10" s="3018"/>
      <c r="AF10" s="2897"/>
      <c r="AG10" s="3055"/>
      <c r="AH10" s="2799"/>
      <c r="AI10" s="3018"/>
      <c r="AJ10" s="2897"/>
      <c r="AK10" s="3019"/>
      <c r="AL10" s="2799"/>
      <c r="AM10" s="1008"/>
      <c r="AN10" s="2192"/>
      <c r="AO10" s="2192" t="s">
        <v>577</v>
      </c>
      <c r="AP10" s="1108"/>
      <c r="AQ10" s="1108"/>
      <c r="AR10" s="1108"/>
      <c r="AS10" s="2085"/>
      <c r="AT10" s="2085"/>
      <c r="AU10" s="2188"/>
      <c r="AV10" s="2085"/>
      <c r="AW10" s="2188"/>
      <c r="AX10" s="2085"/>
      <c r="AY10" s="2085"/>
      <c r="AZ10" s="2085"/>
      <c r="BA10" s="2085"/>
      <c r="BB10" s="2089"/>
      <c r="BC10" s="2946"/>
      <c r="BE10" s="1192"/>
      <c r="BF10" s="1192"/>
      <c r="BG10" s="1192"/>
      <c r="BH10" s="1192"/>
      <c r="BI10" s="1847">
        <v>0</v>
      </c>
    </row>
    <row customHeight="1" ht="11.25" hidden="1">
      <c r="A11" s="2055"/>
      <c r="B11" s="2055"/>
      <c r="C11" s="2055"/>
      <c r="D11" s="2055"/>
      <c r="E11" s="2951"/>
      <c r="F11" s="2951"/>
      <c r="G11" s="2951"/>
      <c r="H11" s="2951"/>
      <c r="I11" s="2978"/>
      <c r="J11" s="2978"/>
      <c r="K11" s="2948"/>
      <c r="L11" s="2056"/>
      <c r="P11" s="2949"/>
      <c r="Q11" s="2949"/>
      <c r="R11" s="3039"/>
      <c r="S11" s="3034"/>
      <c r="T11" s="3053"/>
      <c r="U11" s="992"/>
      <c r="V11" s="2085"/>
      <c r="W11" s="2188"/>
      <c r="X11" s="2085"/>
      <c r="Y11" s="2188"/>
      <c r="Z11" s="2085"/>
      <c r="AA11" s="2085"/>
      <c r="AB11" s="2085"/>
      <c r="AC11" s="2085"/>
      <c r="AD11" s="2878"/>
      <c r="AE11" s="3018"/>
      <c r="AF11" s="2897"/>
      <c r="AG11" s="3055"/>
      <c r="AH11" s="2799"/>
      <c r="AI11" s="986"/>
      <c r="AJ11" s="1107"/>
      <c r="AK11" s="1005" t="s">
        <v>578</v>
      </c>
      <c r="AL11" s="2085"/>
      <c r="AM11" s="2085"/>
      <c r="AN11" s="2085"/>
      <c r="AO11" s="2085"/>
      <c r="AP11" s="2085"/>
      <c r="AQ11" s="2085"/>
      <c r="AR11" s="2085"/>
      <c r="AS11" s="2085"/>
      <c r="AT11" s="2085"/>
      <c r="AU11" s="2188"/>
      <c r="AV11" s="2085"/>
      <c r="AW11" s="2188"/>
      <c r="AX11" s="2085"/>
      <c r="AY11" s="2085"/>
      <c r="AZ11" s="2085"/>
      <c r="BA11" s="2085"/>
      <c r="BB11" s="2089"/>
      <c r="BC11" s="2946"/>
      <c r="BE11" s="1192"/>
      <c r="BF11" s="1192"/>
      <c r="BG11" s="1192"/>
      <c r="BH11" s="1192"/>
      <c r="BI11" s="1847">
        <v>0</v>
      </c>
    </row>
    <row customHeight="1" ht="11.25" hidden="1">
      <c r="A12" s="2055"/>
      <c r="B12" s="2055"/>
      <c r="C12" s="2055"/>
      <c r="D12" s="2055"/>
      <c r="E12" s="2951"/>
      <c r="F12" s="2951"/>
      <c r="G12" s="2951"/>
      <c r="H12" s="2951"/>
      <c r="I12" s="2978"/>
      <c r="J12" s="2978"/>
      <c r="K12" s="2948"/>
      <c r="L12" s="2056"/>
      <c r="P12" s="2949"/>
      <c r="Q12" s="2949"/>
      <c r="R12" s="3039"/>
      <c r="S12" s="3035"/>
      <c r="T12" s="3054"/>
      <c r="U12" s="992"/>
      <c r="V12" s="2085"/>
      <c r="W12" s="2086" t="str">
        <f>Z8&amp;"-"&amp;AB8</f>
        <v>-</v>
      </c>
      <c r="X12" s="2085"/>
      <c r="Y12" s="2086" t="str">
        <f>AB8&amp;"-"&amp;AD8</f>
        <v>-да</v>
      </c>
      <c r="Z12" s="2085"/>
      <c r="AA12" s="2085"/>
      <c r="AB12" s="2085"/>
      <c r="AC12" s="2085"/>
      <c r="AD12" s="2804"/>
      <c r="AE12" s="1004"/>
      <c r="AF12" s="1006"/>
      <c r="AG12" s="1108" t="s">
        <v>579</v>
      </c>
      <c r="AH12" s="2085"/>
      <c r="AI12" s="2085"/>
      <c r="AJ12" s="2085"/>
      <c r="AK12" s="2085"/>
      <c r="AL12" s="2085"/>
      <c r="AM12" s="2085"/>
      <c r="AN12" s="2085"/>
      <c r="AO12" s="2085"/>
      <c r="AP12" s="2085"/>
      <c r="AQ12" s="2085"/>
      <c r="AR12" s="2085"/>
      <c r="AS12" s="2085"/>
      <c r="AT12" s="2085"/>
      <c r="AU12" s="2086" t="str">
        <f>AX8&amp;"-"&amp;AZ8</f>
        <v>-</v>
      </c>
      <c r="AV12" s="2085"/>
      <c r="AW12" s="2086" t="str">
        <f>AZ8&amp;"-"&amp;BB8</f>
        <v>-</v>
      </c>
      <c r="AX12" s="2085"/>
      <c r="AY12" s="2085"/>
      <c r="AZ12" s="2085"/>
      <c r="BA12" s="2085"/>
      <c r="BB12" s="2088" t="str">
        <f>BE8&amp;"-"&amp;BG8</f>
        <v>-</v>
      </c>
      <c r="BC12" s="2946"/>
      <c r="BE12" s="1192"/>
      <c r="BF12" s="1192" t="str">
        <f>IF(T12="","",T12)</f>
        <v/>
      </c>
      <c r="BG12" s="1192"/>
      <c r="BH12" s="1192"/>
      <c r="BI12" s="1847">
        <v>0</v>
      </c>
    </row>
    <row customHeight="1" ht="11.25" hidden="1">
      <c r="A13" s="2055"/>
      <c r="B13" s="2055"/>
      <c r="C13" s="2055"/>
      <c r="D13" s="2055"/>
      <c r="E13" s="2951"/>
      <c r="F13" s="2951"/>
      <c r="G13" s="2951"/>
      <c r="H13" s="2951"/>
      <c r="I13" s="2978"/>
      <c r="J13" s="2948"/>
      <c r="K13" s="2055"/>
      <c r="L13" s="2056"/>
      <c r="P13" s="2949"/>
      <c r="Q13" s="2949"/>
      <c r="R13" s="1048"/>
      <c r="S13" s="1970"/>
      <c r="T13" s="979" t="s">
        <v>542</v>
      </c>
      <c r="U13" s="1059"/>
      <c r="V13" s="1059"/>
      <c r="W13" s="1059"/>
      <c r="X13" s="1059"/>
      <c r="Y13" s="1059"/>
      <c r="Z13" s="1059"/>
      <c r="AA13" s="1059"/>
      <c r="AB13" s="1059"/>
      <c r="AC13" s="1059"/>
      <c r="AD13" s="2197"/>
      <c r="AE13" s="1059"/>
      <c r="AF13" s="1059"/>
      <c r="AG13" s="1059"/>
      <c r="AH13" s="1059"/>
      <c r="AI13" s="1059"/>
      <c r="AJ13" s="1059"/>
      <c r="AK13" s="1059"/>
      <c r="AL13" s="1059"/>
      <c r="AM13" s="1059"/>
      <c r="AN13" s="1059"/>
      <c r="AO13" s="1059"/>
      <c r="AP13" s="1059"/>
      <c r="AQ13" s="1059"/>
      <c r="AR13" s="1059"/>
      <c r="AS13" s="1059"/>
      <c r="AT13" s="1059"/>
      <c r="AU13" s="1059"/>
      <c r="AV13" s="1059"/>
      <c r="AW13" s="1059"/>
      <c r="AX13" s="1059"/>
      <c r="AY13" s="1059"/>
      <c r="AZ13" s="1059"/>
      <c r="BA13" s="1059"/>
      <c r="BB13" s="1016"/>
      <c r="BC13" s="2947"/>
      <c r="BE13" s="1192"/>
      <c r="BF13" s="1192" t="str">
        <f>IF(T13="","",T13)</f>
        <v>Добавить строку</v>
      </c>
      <c r="BG13" s="1192"/>
      <c r="BH13" s="1192"/>
      <c r="BI13" s="1847">
        <v>0</v>
      </c>
    </row>
    <row s="61695" customFormat="1" customHeight="1" ht="14.25" hidden="1">
      <c r="A14" s="2035"/>
      <c r="B14" s="2035"/>
      <c r="C14" s="2035"/>
      <c r="D14" s="2035"/>
      <c r="E14" s="2951"/>
      <c r="F14" s="2951"/>
      <c r="G14" s="2951"/>
      <c r="H14" s="2951"/>
      <c r="I14" s="2948"/>
      <c r="J14" s="2035"/>
      <c r="K14" s="2035"/>
      <c r="L14" s="2038"/>
      <c r="M14" s="1202"/>
      <c r="N14" s="1202"/>
      <c r="O14" s="1202"/>
      <c r="P14" s="2949"/>
      <c r="Q14" s="2154"/>
      <c r="R14" s="1048"/>
      <c r="S14" s="2078"/>
      <c r="T14" s="2079"/>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c r="AP14" s="2080"/>
      <c r="AQ14" s="2080"/>
      <c r="AR14" s="2080"/>
      <c r="AS14" s="2080"/>
      <c r="AT14" s="2080"/>
      <c r="AU14" s="2080"/>
      <c r="AV14" s="2080"/>
      <c r="AW14" s="2080"/>
      <c r="AX14" s="2080"/>
      <c r="AY14" s="2080"/>
      <c r="AZ14" s="2080"/>
      <c r="BA14" s="2080"/>
      <c r="BB14" s="2080"/>
      <c r="BC14" s="2081"/>
      <c r="BE14" s="1192"/>
      <c r="BF14" s="1192" t="str">
        <f>IF(T14="","",T14)</f>
        <v/>
      </c>
      <c r="BG14" s="1192"/>
      <c r="BH14" s="1192"/>
      <c r="BI14" s="1203">
        <v>0</v>
      </c>
    </row>
    <row s="61695" customFormat="1" customHeight="1" ht="14.25" hidden="1">
      <c r="A15" s="2035"/>
      <c r="B15" s="2035"/>
      <c r="C15" s="2035"/>
      <c r="D15" s="2035"/>
      <c r="E15" s="2951"/>
      <c r="F15" s="2951"/>
      <c r="G15" s="2951"/>
      <c r="H15" s="2950"/>
      <c r="I15" s="2035"/>
      <c r="J15" s="2035"/>
      <c r="K15" s="2035"/>
      <c r="L15" s="2038"/>
      <c r="M15" s="2007"/>
      <c r="N15" s="2007"/>
      <c r="O15" s="1210"/>
      <c r="P15" s="1072"/>
      <c r="Q15" s="2036"/>
      <c r="R15" s="2093"/>
      <c r="S15" s="2078"/>
      <c r="T15" s="2079"/>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c r="AP15" s="2080"/>
      <c r="AQ15" s="2080"/>
      <c r="AR15" s="2080"/>
      <c r="AS15" s="2080"/>
      <c r="AT15" s="2080"/>
      <c r="AU15" s="2080"/>
      <c r="AV15" s="2080"/>
      <c r="AW15" s="2080"/>
      <c r="AX15" s="2080"/>
      <c r="AY15" s="2080"/>
      <c r="AZ15" s="2080"/>
      <c r="BA15" s="2080"/>
      <c r="BB15" s="2080"/>
      <c r="BC15" s="2081"/>
      <c r="BE15" s="1192"/>
      <c r="BF15" s="1192" t="str">
        <f>IF(T15="","",T15)</f>
        <v/>
      </c>
      <c r="BG15" s="1192"/>
      <c r="BH15" s="1192"/>
      <c r="BI15" s="1203">
        <v>0</v>
      </c>
    </row>
    <row s="61695" customFormat="1" customHeight="1" ht="14.25" hidden="1">
      <c r="A16" s="2035"/>
      <c r="B16" s="2035"/>
      <c r="C16" s="2035"/>
      <c r="D16" s="2006"/>
      <c r="E16" s="2951"/>
      <c r="F16" s="2951"/>
      <c r="G16" s="2950"/>
      <c r="H16" s="2006"/>
      <c r="I16" s="2006"/>
      <c r="J16" s="2006"/>
      <c r="K16" s="2006"/>
      <c r="L16" s="2156"/>
      <c r="M16" s="2007"/>
      <c r="N16" s="2007"/>
      <c r="P16" s="2008"/>
      <c r="Q16" s="2009"/>
      <c r="R16" s="2008"/>
      <c r="S16" s="2014"/>
      <c r="T16" s="2017"/>
      <c r="U16" s="2016"/>
      <c r="V16" s="2016"/>
      <c r="W16" s="2016"/>
      <c r="X16" s="2016"/>
      <c r="Y16" s="2016"/>
      <c r="Z16" s="2016"/>
      <c r="AA16" s="2016"/>
      <c r="AB16" s="2016"/>
      <c r="AC16" s="2016"/>
      <c r="AD16" s="2016"/>
      <c r="AE16" s="2016"/>
      <c r="AF16" s="2016"/>
      <c r="AG16" s="2016"/>
      <c r="AH16" s="2016"/>
      <c r="AI16" s="2016"/>
      <c r="AJ16" s="2016"/>
      <c r="AK16" s="2016"/>
      <c r="AL16" s="2016"/>
      <c r="AM16" s="2016"/>
      <c r="AN16" s="2016"/>
      <c r="AO16" s="2016"/>
      <c r="AP16" s="2016"/>
      <c r="AQ16" s="2016"/>
      <c r="AR16" s="2016"/>
      <c r="AS16" s="2016"/>
      <c r="AT16" s="2016"/>
      <c r="AU16" s="2016"/>
      <c r="AV16" s="2016"/>
      <c r="AW16" s="2016"/>
      <c r="AX16" s="2016"/>
      <c r="AY16" s="2016"/>
      <c r="AZ16" s="2016"/>
      <c r="BA16" s="2016"/>
      <c r="BB16" s="2016"/>
      <c r="BC16" s="2016"/>
      <c r="BE16" s="1481"/>
      <c r="BF16" s="1481" t="str">
        <f>IF(T16="","",T16)</f>
        <v/>
      </c>
      <c r="BG16" s="1481"/>
      <c r="BH16" s="1481"/>
      <c r="BI16" s="1210">
        <v>0</v>
      </c>
    </row>
    <row s="61695" customFormat="1" customHeight="1" ht="14.25" hidden="1">
      <c r="A17" s="2035"/>
      <c r="B17" s="2035"/>
      <c r="C17" s="2006"/>
      <c r="D17" s="2006"/>
      <c r="E17" s="2951"/>
      <c r="F17" s="2950"/>
      <c r="G17" s="2006"/>
      <c r="H17" s="2006"/>
      <c r="I17" s="2006"/>
      <c r="J17" s="2006"/>
      <c r="K17" s="2006"/>
      <c r="L17" s="2156"/>
      <c r="M17" s="2013"/>
      <c r="N17" s="2013"/>
      <c r="P17" s="2008"/>
      <c r="Q17" s="2009"/>
      <c r="R17" s="2008"/>
      <c r="S17" s="2014"/>
      <c r="T17" s="2017" t="s">
        <v>172</v>
      </c>
      <c r="U17" s="2016"/>
      <c r="V17" s="2016"/>
      <c r="W17" s="2016"/>
      <c r="X17" s="2016"/>
      <c r="Y17" s="2016"/>
      <c r="Z17" s="2016"/>
      <c r="AA17" s="2016"/>
      <c r="AB17" s="2016"/>
      <c r="AC17" s="2016"/>
      <c r="AD17" s="2016"/>
      <c r="AE17" s="2016"/>
      <c r="AF17" s="2016"/>
      <c r="AG17" s="2016"/>
      <c r="AH17" s="2016"/>
      <c r="AI17" s="2016"/>
      <c r="AJ17" s="2016"/>
      <c r="AK17" s="2016"/>
      <c r="AL17" s="2016"/>
      <c r="AM17" s="2016"/>
      <c r="AN17" s="2016"/>
      <c r="AO17" s="2016"/>
      <c r="AP17" s="2016"/>
      <c r="AQ17" s="2016"/>
      <c r="AR17" s="2016"/>
      <c r="AS17" s="2016"/>
      <c r="AT17" s="2016"/>
      <c r="AU17" s="2016"/>
      <c r="AV17" s="2016"/>
      <c r="AW17" s="2016"/>
      <c r="AX17" s="2016"/>
      <c r="AY17" s="2016"/>
      <c r="AZ17" s="2016"/>
      <c r="BA17" s="2016"/>
      <c r="BB17" s="2016"/>
      <c r="BC17" s="2016"/>
      <c r="BE17" s="1481"/>
      <c r="BF17" s="1481" t="str">
        <f>IF(T17="","",T17)</f>
        <v>Добавить централизованную систему для дифференциации</v>
      </c>
      <c r="BG17" s="1481"/>
      <c r="BH17" s="1481"/>
      <c r="BI17" s="1210">
        <v>0</v>
      </c>
    </row>
    <row s="61695" customFormat="1" customHeight="1" ht="14.25" hidden="1">
      <c r="A18" s="2035"/>
      <c r="B18" s="2035"/>
      <c r="C18" s="2035"/>
      <c r="D18" s="2035"/>
      <c r="E18" s="2950"/>
      <c r="F18" s="2035"/>
      <c r="G18" s="2035"/>
      <c r="H18" s="2035"/>
      <c r="I18" s="2035"/>
      <c r="J18" s="2035"/>
      <c r="K18" s="2035"/>
      <c r="L18" s="2038"/>
      <c r="M18" s="2013"/>
      <c r="N18" s="2013"/>
      <c r="O18" s="1210"/>
      <c r="P18" s="1072"/>
      <c r="Q18" s="2036"/>
      <c r="R18" s="1072"/>
      <c r="S18" s="2014"/>
      <c r="T18" s="2017" t="s">
        <v>173</v>
      </c>
      <c r="U18" s="2016"/>
      <c r="V18" s="2016"/>
      <c r="W18" s="2016"/>
      <c r="X18" s="2016"/>
      <c r="Y18" s="2016"/>
      <c r="Z18" s="2016"/>
      <c r="AA18" s="2016"/>
      <c r="AB18" s="2016"/>
      <c r="AC18" s="2016"/>
      <c r="AD18" s="2016"/>
      <c r="AE18" s="2016"/>
      <c r="AF18" s="2016"/>
      <c r="AG18" s="2016"/>
      <c r="AH18" s="2016"/>
      <c r="AI18" s="2016"/>
      <c r="AJ18" s="2016"/>
      <c r="AK18" s="2016"/>
      <c r="AL18" s="2016"/>
      <c r="AM18" s="2016"/>
      <c r="AN18" s="2016"/>
      <c r="AO18" s="2016"/>
      <c r="AP18" s="2016"/>
      <c r="AQ18" s="2016"/>
      <c r="AR18" s="2016"/>
      <c r="AS18" s="2016"/>
      <c r="AT18" s="2016"/>
      <c r="AU18" s="2016"/>
      <c r="AV18" s="2016"/>
      <c r="AW18" s="2016"/>
      <c r="AX18" s="2016"/>
      <c r="AY18" s="2016"/>
      <c r="AZ18" s="2016"/>
      <c r="BA18" s="2016"/>
      <c r="BB18" s="2016"/>
      <c r="BC18" s="2016"/>
      <c r="BE18" s="1192"/>
      <c r="BF18" s="1192" t="str">
        <f>IF(T18="","",T18)</f>
        <v>Добавить территорию для дифференциации</v>
      </c>
      <c r="BG18" s="1192"/>
      <c r="BH18" s="1192"/>
      <c r="BI18" s="1203">
        <v>0</v>
      </c>
    </row>
    <row customHeight="1" ht="14.25" hidden="1">
      <c r="AC19" s="1019"/>
      <c r="BA19" s="1019"/>
      <c r="BI19" s="1847">
        <v>0</v>
      </c>
    </row>
    <row customHeight="1" ht="14.25" hidden="1">
      <c r="AD20" s="2016" t="s">
        <v>19</v>
      </c>
      <c r="AE20" s="2193"/>
      <c r="AF20" s="1240">
        <v>1</v>
      </c>
      <c r="AG20" s="2194"/>
      <c r="AH20" s="2016" t="s">
        <v>19</v>
      </c>
      <c r="AI20" s="2193"/>
      <c r="AJ20" s="1240">
        <v>1</v>
      </c>
      <c r="AK20" s="2194"/>
      <c r="AL20" s="2016" t="s">
        <v>19</v>
      </c>
      <c r="AM20" s="2195"/>
      <c r="AN20" s="1240">
        <v>1</v>
      </c>
      <c r="AO20" s="2196"/>
      <c r="AP20" s="2016" t="s">
        <v>19</v>
      </c>
      <c r="AQ20" s="2195"/>
      <c r="AR20" s="1240">
        <v>1</v>
      </c>
      <c r="AS20" s="2196"/>
      <c r="AT20" s="1017"/>
      <c r="AU20" s="1076"/>
      <c r="AV20" s="1017"/>
      <c r="AW20" s="1076"/>
      <c r="AX20" s="2428"/>
      <c r="AY20" s="2152" t="s">
        <v>67</v>
      </c>
      <c r="AZ20" s="2428"/>
      <c r="BA20" s="2152" t="s">
        <v>67</v>
      </c>
      <c r="BI20" s="1847">
        <v>0</v>
      </c>
    </row>
    <row customHeight="1" ht="14.25" hidden="1">
      <c r="BD21" s="1188"/>
      <c r="BE21" s="1188"/>
      <c r="BF21" s="1188"/>
      <c r="BG21" s="1188"/>
      <c r="BH21" s="1188"/>
      <c r="BI21" s="1847">
        <v>0</v>
      </c>
    </row>
    <row customHeight="1" ht="14.25" hidden="1">
      <c r="O22" s="2059" t="s">
        <v>489</v>
      </c>
      <c r="Z22" s="2037"/>
      <c r="AB22" s="2037"/>
      <c r="AC22" s="1019"/>
      <c r="AX22" s="2037"/>
      <c r="AZ22" s="2037"/>
      <c r="BA22" s="1019"/>
      <c r="BD22" s="1188"/>
      <c r="BE22" s="1188"/>
      <c r="BF22" s="1188"/>
      <c r="BG22" s="1188"/>
      <c r="BH22" s="1188"/>
      <c r="BI22" s="1847">
        <v>0</v>
      </c>
    </row>
    <row customHeight="1" ht="14.25" hidden="1">
      <c r="AC23" s="1019"/>
      <c r="BA23" s="1019"/>
      <c r="BD23" s="1188"/>
      <c r="BE23" s="1188"/>
      <c r="BF23" s="1188"/>
      <c r="BG23" s="1188"/>
      <c r="BH23" s="1188"/>
      <c r="BI23" s="1847">
        <v>0</v>
      </c>
    </row>
    <row s="61412" customFormat="1" customHeight="1" ht="14.25" hidden="1">
      <c r="M24" s="2200"/>
      <c r="N24" s="2200"/>
      <c r="O24" s="2201" t="s">
        <v>490</v>
      </c>
      <c r="P24" s="2200"/>
      <c r="Q24" s="2202"/>
      <c r="R24" s="2202"/>
      <c r="AA24" s="2199" t="s">
        <v>492</v>
      </c>
      <c r="AC24" s="2199" t="s">
        <v>493</v>
      </c>
      <c r="AD24" s="2199" t="s">
        <v>543</v>
      </c>
      <c r="AH24" s="2199" t="s">
        <v>543</v>
      </c>
      <c r="AK24" s="2199" t="s">
        <v>580</v>
      </c>
      <c r="AL24" s="2199" t="s">
        <v>543</v>
      </c>
      <c r="AP24" s="2199" t="s">
        <v>543</v>
      </c>
      <c r="AY24" s="2199" t="s">
        <v>492</v>
      </c>
      <c r="BA24" s="2199" t="s">
        <v>493</v>
      </c>
      <c r="BD24" s="2203"/>
      <c r="BE24" s="2203"/>
      <c r="BF24" s="2203"/>
      <c r="BG24" s="2203"/>
      <c r="BH24" s="2203"/>
      <c r="BI24" s="2199">
        <v>0</v>
      </c>
    </row>
    <row customHeight="1" ht="14.25" hidden="1">
      <c r="O25" s="2056"/>
      <c r="BD25" s="1188"/>
      <c r="BE25" s="1188"/>
      <c r="BF25" s="1188"/>
      <c r="BG25" s="1188"/>
      <c r="BH25" s="1188"/>
      <c r="BI25" s="1847">
        <v>0</v>
      </c>
    </row>
    <row customHeight="1" ht="14.25" hidden="1">
      <c r="O26" s="2056"/>
      <c r="BD26" s="1188"/>
      <c r="BE26" s="1188"/>
      <c r="BF26" s="1188"/>
      <c r="BG26" s="1188"/>
      <c r="BH26" s="1188"/>
      <c r="BI26" s="1847">
        <v>0</v>
      </c>
    </row>
    <row customHeight="1" ht="14.699999999999998">
      <c r="Q27" s="983"/>
      <c r="R27" s="1068"/>
      <c r="S27" s="1967"/>
      <c r="T27" s="1055"/>
      <c r="U27" s="1055"/>
      <c r="V27" s="1201"/>
      <c r="W27" s="1201"/>
      <c r="X27" s="1201"/>
      <c r="Y27" s="1201"/>
      <c r="Z27" s="1201"/>
      <c r="AA27" s="1201"/>
      <c r="AB27" s="1201"/>
      <c r="AC27" s="1201"/>
      <c r="AD27" s="1201"/>
      <c r="AE27" s="1201"/>
      <c r="AF27" s="1201"/>
      <c r="AG27" s="1201"/>
      <c r="AH27" s="1201"/>
      <c r="AI27" s="1201"/>
      <c r="AJ27" s="1201"/>
      <c r="AK27" s="1201"/>
      <c r="AL27" s="1201"/>
      <c r="AM27" s="1201"/>
      <c r="AN27" s="1201"/>
      <c r="AO27" s="1201"/>
      <c r="AP27" s="1201"/>
      <c r="AQ27" s="1201"/>
      <c r="AR27" s="1201"/>
      <c r="AS27" s="1201"/>
      <c r="AT27" s="1201"/>
      <c r="AU27" s="1201"/>
      <c r="AV27" s="1201"/>
      <c r="AW27" s="1201"/>
      <c r="AX27" s="1201"/>
      <c r="AY27" s="1201"/>
      <c r="AZ27" s="1201"/>
      <c r="BA27" s="1201"/>
      <c r="BI27" s="1847">
        <v>14</v>
      </c>
    </row>
    <row customHeight="1" ht="14.699999999999998">
      <c r="Q28" s="983"/>
      <c r="R28" s="1068"/>
      <c r="S28" s="294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940"/>
      <c r="U28" s="2940"/>
      <c r="V28" s="2940"/>
      <c r="W28" s="2940"/>
      <c r="X28" s="2940"/>
      <c r="Y28" s="2940"/>
      <c r="Z28" s="2940"/>
      <c r="AA28" s="2940"/>
      <c r="AB28" s="2940"/>
      <c r="AC28" s="2940"/>
      <c r="AD28" s="2940"/>
      <c r="AE28" s="2940"/>
      <c r="AF28" s="2940"/>
      <c r="AG28" s="2940"/>
      <c r="AH28" s="2940"/>
      <c r="AI28" s="2940"/>
      <c r="AJ28" s="2940"/>
      <c r="AK28" s="2940"/>
      <c r="AL28" s="2940"/>
      <c r="AM28" s="2940"/>
      <c r="AN28" s="2940"/>
      <c r="AO28" s="2940"/>
      <c r="AP28" s="2940"/>
      <c r="AQ28" s="2940"/>
      <c r="AR28" s="2940"/>
      <c r="AS28" s="2940"/>
      <c r="AT28" s="2940"/>
      <c r="AU28" s="2940"/>
      <c r="AV28" s="2940"/>
      <c r="AW28" s="2940"/>
      <c r="AX28" s="2940"/>
      <c r="AY28" s="2940"/>
      <c r="AZ28" s="2940"/>
      <c r="BA28" s="1935"/>
      <c r="BI28" s="1847">
        <v>14</v>
      </c>
    </row>
    <row customHeight="1" ht="14.699999999999998">
      <c r="Q29" s="983"/>
      <c r="R29" s="1068"/>
      <c r="S29" s="2941" t="str">
        <f>IF(org=0,"Не определено",org)</f>
        <v>АО "ДГК"</v>
      </c>
      <c r="T29" s="2941"/>
      <c r="U29" s="2941"/>
      <c r="V29" s="2941"/>
      <c r="W29" s="2941"/>
      <c r="X29" s="2941"/>
      <c r="Y29" s="2941"/>
      <c r="Z29" s="2941"/>
      <c r="AA29" s="2941"/>
      <c r="AB29" s="2941"/>
      <c r="AC29" s="2941"/>
      <c r="AD29" s="2941"/>
      <c r="AE29" s="2941"/>
      <c r="AF29" s="2941"/>
      <c r="AG29" s="2941"/>
      <c r="AH29" s="2941"/>
      <c r="AI29" s="2941"/>
      <c r="AJ29" s="2941"/>
      <c r="AK29" s="2941"/>
      <c r="AL29" s="2941"/>
      <c r="AM29" s="2941"/>
      <c r="AN29" s="2941"/>
      <c r="AO29" s="2941"/>
      <c r="AP29" s="2941"/>
      <c r="AQ29" s="2941"/>
      <c r="AR29" s="2941"/>
      <c r="AS29" s="2941"/>
      <c r="AT29" s="2941"/>
      <c r="AU29" s="2941"/>
      <c r="AV29" s="2941"/>
      <c r="AW29" s="2941"/>
      <c r="AX29" s="2941"/>
      <c r="AY29" s="2941"/>
      <c r="AZ29" s="2941"/>
      <c r="BA29" s="1935"/>
      <c r="BI29" s="1847">
        <v>14</v>
      </c>
    </row>
    <row customHeight="1" ht="14.25" hidden="1">
      <c r="Q30" s="983"/>
      <c r="R30" s="1068"/>
      <c r="S30" s="1967"/>
      <c r="T30" s="1055"/>
      <c r="U30" s="1055"/>
      <c r="V30" s="1014"/>
      <c r="W30" s="1014"/>
      <c r="X30" s="1014"/>
      <c r="Y30" s="1014"/>
      <c r="Z30" s="1014"/>
      <c r="AA30" s="1014"/>
      <c r="AB30" s="1014"/>
      <c r="AC30" s="1014"/>
      <c r="AD30" s="1014"/>
      <c r="AE30" s="1014"/>
      <c r="AF30" s="1014"/>
      <c r="AG30" s="1014"/>
      <c r="AH30" s="1014"/>
      <c r="AI30" s="1014"/>
      <c r="AJ30" s="1014"/>
      <c r="AK30" s="1014"/>
      <c r="AL30" s="1014"/>
      <c r="AM30" s="1014"/>
      <c r="AN30" s="1014"/>
      <c r="AO30" s="1014"/>
      <c r="AP30" s="1014"/>
      <c r="AQ30" s="1014"/>
      <c r="AR30" s="1014"/>
      <c r="AS30" s="1014"/>
      <c r="AT30" s="1014"/>
      <c r="AU30" s="1014"/>
      <c r="AV30" s="1014"/>
      <c r="AW30" s="1014"/>
      <c r="AX30" s="1014"/>
      <c r="AY30" s="1014"/>
      <c r="AZ30" s="1014"/>
      <c r="BA30" s="1014"/>
      <c r="BB30" s="1201"/>
      <c r="BI30" s="1847">
        <v>0</v>
      </c>
    </row>
    <row s="63055" customFormat="1" customHeight="1" ht="25.5" hidden="1">
      <c r="A31" s="2060"/>
      <c r="B31" s="2060"/>
      <c r="C31" s="2060"/>
      <c r="D31" s="2060"/>
      <c r="E31" s="2060"/>
      <c r="F31" s="2060"/>
      <c r="G31" s="2060"/>
      <c r="H31" s="2060"/>
      <c r="I31" s="2060"/>
      <c r="J31" s="2060"/>
      <c r="K31" s="2060"/>
      <c r="L31" s="2061"/>
      <c r="M31" s="2060"/>
      <c r="N31" s="2060"/>
      <c r="O31" s="2060"/>
      <c r="P31" s="2060"/>
      <c r="Q31" s="2060"/>
      <c r="S31" s="2942" t="s">
        <v>42</v>
      </c>
      <c r="T31" s="2942"/>
      <c r="U31" s="2064"/>
      <c r="V31" s="2943" t="str">
        <f>IF(TITLE_NAME_OR_PR_CHANGE="",IF(TITLE_NAME_OR_PR="","",TITLE_NAME_OR_PR),TITLE_NAME_OR_PR_CHANGE)</f>
        <v/>
      </c>
      <c r="W31" s="2943"/>
      <c r="X31" s="2943"/>
      <c r="Y31" s="2943"/>
      <c r="Z31" s="2943"/>
      <c r="AA31" s="2943"/>
      <c r="AB31" s="2943"/>
      <c r="AC31" s="1018"/>
      <c r="AD31" s="2943" t="str">
        <f>IF(TITLE_NAME_OR_PR_CHANGE="",IF(TITLE_NAME_OR_PR="","",TITLE_NAME_OR_PR),TITLE_NAME_OR_PR_CHANGE)</f>
        <v/>
      </c>
      <c r="AE31" s="2943"/>
      <c r="AF31" s="2943"/>
      <c r="AG31" s="2943"/>
      <c r="AH31" s="2943"/>
      <c r="AI31" s="2943"/>
      <c r="AJ31" s="2943"/>
      <c r="AK31" s="2943"/>
      <c r="AL31" s="2943"/>
      <c r="AM31" s="2943"/>
      <c r="AN31" s="2943"/>
      <c r="AO31" s="2943"/>
      <c r="AP31" s="2943"/>
      <c r="AQ31" s="2943"/>
      <c r="AR31" s="2943"/>
      <c r="AS31" s="2943"/>
      <c r="AT31" s="2943"/>
      <c r="AU31" s="2943"/>
      <c r="AV31" s="2943"/>
      <c r="AW31" s="2943"/>
      <c r="AX31" s="2943"/>
      <c r="AY31" s="2943"/>
      <c r="AZ31" s="2943"/>
      <c r="BA31" s="1018"/>
      <c r="BB31" s="1018"/>
      <c r="BC31" s="972"/>
      <c r="BD31" s="1060"/>
      <c r="BE31" s="1060"/>
      <c r="BF31" s="1060"/>
      <c r="BG31" s="1060"/>
      <c r="BH31" s="1060"/>
      <c r="BI31" s="1110">
        <v>0</v>
      </c>
    </row>
    <row s="63055" customFormat="1" customHeight="1" ht="18.75" hidden="1">
      <c r="A32" s="2060"/>
      <c r="B32" s="2060"/>
      <c r="C32" s="2060"/>
      <c r="D32" s="2060"/>
      <c r="E32" s="2060"/>
      <c r="F32" s="2060"/>
      <c r="G32" s="2060"/>
      <c r="H32" s="2060"/>
      <c r="I32" s="2060"/>
      <c r="J32" s="2060"/>
      <c r="K32" s="2060"/>
      <c r="L32" s="2061"/>
      <c r="M32" s="2060"/>
      <c r="N32" s="2060"/>
      <c r="O32" s="2060"/>
      <c r="P32" s="2060"/>
      <c r="Q32" s="2060"/>
      <c r="S32" s="2942" t="s">
        <v>495</v>
      </c>
      <c r="T32" s="2942"/>
      <c r="U32" s="2064"/>
      <c r="V32" s="2956" t="str">
        <f>IF(TITLE_DATE_PR_CHANGE="",IF(TITLE_DATE_PR="","",TITLE_DATE_PR),TITLE_DATE_PR_CHANGE)</f>
        <v>45981</v>
      </c>
      <c r="W32" s="2956"/>
      <c r="X32" s="2956"/>
      <c r="Y32" s="2956"/>
      <c r="Z32" s="2956"/>
      <c r="AA32" s="2956"/>
      <c r="AB32" s="2956"/>
      <c r="AC32" s="1018"/>
      <c r="AD32" s="2956" t="str">
        <f>IF(TITLE_DATE_PR_CHANGE="",IF(TITLE_DATE_PR="","",TITLE_DATE_PR),TITLE_DATE_PR_CHANGE)</f>
        <v>45981</v>
      </c>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1018"/>
      <c r="BB32" s="1018"/>
      <c r="BC32" s="972"/>
      <c r="BD32" s="1060"/>
      <c r="BE32" s="1060"/>
      <c r="BF32" s="1060"/>
      <c r="BG32" s="1060"/>
      <c r="BH32" s="1060"/>
      <c r="BI32" s="1110">
        <v>0</v>
      </c>
    </row>
    <row s="63055" customFormat="1" customHeight="1" ht="18.75" hidden="1">
      <c r="A33" s="2060"/>
      <c r="B33" s="2060"/>
      <c r="C33" s="2060"/>
      <c r="D33" s="2060"/>
      <c r="E33" s="2060"/>
      <c r="F33" s="2060"/>
      <c r="G33" s="2060"/>
      <c r="H33" s="2060"/>
      <c r="I33" s="2060"/>
      <c r="J33" s="2060"/>
      <c r="K33" s="2060"/>
      <c r="L33" s="2061"/>
      <c r="M33" s="2060"/>
      <c r="N33" s="2060"/>
      <c r="O33" s="2060"/>
      <c r="P33" s="2060"/>
      <c r="Q33" s="2060"/>
      <c r="S33" s="2942" t="s">
        <v>496</v>
      </c>
      <c r="T33" s="2942"/>
      <c r="U33" s="2064"/>
      <c r="V33" s="2943" t="str">
        <f>IF(TITLE_NUMBER_PR_CHANGE="",IF(TITLE_NUMBER_PR="","",TITLE_NUMBER_PR),TITLE_NUMBER_PR_CHANGE)</f>
        <v>Исх-260/1781</v>
      </c>
      <c r="W33" s="2943"/>
      <c r="X33" s="2943"/>
      <c r="Y33" s="2943"/>
      <c r="Z33" s="2943"/>
      <c r="AA33" s="2943"/>
      <c r="AB33" s="2943"/>
      <c r="AC33" s="1018"/>
      <c r="AD33" s="2943" t="str">
        <f>IF(TITLE_NUMBER_PR_CHANGE="",IF(TITLE_NUMBER_PR="","",TITLE_NUMBER_PR),TITLE_NUMBER_PR_CHANGE)</f>
        <v>Исх-260/1781</v>
      </c>
      <c r="AE33" s="2943"/>
      <c r="AF33" s="2943"/>
      <c r="AG33" s="2943"/>
      <c r="AH33" s="2943"/>
      <c r="AI33" s="2943"/>
      <c r="AJ33" s="2943"/>
      <c r="AK33" s="2943"/>
      <c r="AL33" s="2943"/>
      <c r="AM33" s="2943"/>
      <c r="AN33" s="2943"/>
      <c r="AO33" s="2943"/>
      <c r="AP33" s="2943"/>
      <c r="AQ33" s="2943"/>
      <c r="AR33" s="2943"/>
      <c r="AS33" s="2943"/>
      <c r="AT33" s="2943"/>
      <c r="AU33" s="2943"/>
      <c r="AV33" s="2943"/>
      <c r="AW33" s="2943"/>
      <c r="AX33" s="2943"/>
      <c r="AY33" s="2943"/>
      <c r="AZ33" s="2943"/>
      <c r="BA33" s="1018"/>
      <c r="BB33" s="1018"/>
      <c r="BC33" s="972"/>
      <c r="BD33" s="1060"/>
      <c r="BE33" s="1060"/>
      <c r="BF33" s="1060"/>
      <c r="BG33" s="1060"/>
      <c r="BH33" s="1060"/>
      <c r="BI33" s="1110">
        <v>0</v>
      </c>
    </row>
    <row s="63055" customFormat="1" customHeight="1" ht="18.75" hidden="1">
      <c r="A34" s="2060"/>
      <c r="B34" s="2060"/>
      <c r="C34" s="2060"/>
      <c r="D34" s="2060"/>
      <c r="E34" s="2060"/>
      <c r="F34" s="2060"/>
      <c r="G34" s="2060"/>
      <c r="H34" s="2060"/>
      <c r="I34" s="2060"/>
      <c r="J34" s="2060"/>
      <c r="K34" s="2060"/>
      <c r="L34" s="2061"/>
      <c r="M34" s="2060"/>
      <c r="N34" s="2060"/>
      <c r="O34" s="2060"/>
      <c r="P34" s="2060"/>
      <c r="Q34" s="2060"/>
      <c r="S34" s="2942" t="s">
        <v>43</v>
      </c>
      <c r="T34" s="2942"/>
      <c r="U34" s="2064"/>
      <c r="V34" s="2943" t="str">
        <f>IF(TITLE_IST_PUB_CHANGE="",IF(TITLE_IST_PUB="","",TITLE_IST_PUB),TITLE_IST_PUB_CHANGE)</f>
        <v/>
      </c>
      <c r="W34" s="2943"/>
      <c r="X34" s="2943"/>
      <c r="Y34" s="2943"/>
      <c r="Z34" s="2943"/>
      <c r="AA34" s="2943"/>
      <c r="AB34" s="2943"/>
      <c r="AC34" s="1018"/>
      <c r="AD34" s="2943" t="str">
        <f>IF(TITLE_IST_PUB_CHANGE="",IF(TITLE_IST_PUB="","",TITLE_IST_PUB),TITLE_IST_PUB_CHANGE)</f>
        <v/>
      </c>
      <c r="AE34" s="2943"/>
      <c r="AF34" s="2943"/>
      <c r="AG34" s="2943"/>
      <c r="AH34" s="2943"/>
      <c r="AI34" s="2943"/>
      <c r="AJ34" s="2943"/>
      <c r="AK34" s="2943"/>
      <c r="AL34" s="2943"/>
      <c r="AM34" s="2943"/>
      <c r="AN34" s="2943"/>
      <c r="AO34" s="2943"/>
      <c r="AP34" s="2943"/>
      <c r="AQ34" s="2943"/>
      <c r="AR34" s="2943"/>
      <c r="AS34" s="2943"/>
      <c r="AT34" s="2943"/>
      <c r="AU34" s="2943"/>
      <c r="AV34" s="2943"/>
      <c r="AW34" s="2943"/>
      <c r="AX34" s="2943"/>
      <c r="AY34" s="2943"/>
      <c r="AZ34" s="2943"/>
      <c r="BA34" s="1018"/>
      <c r="BB34" s="1018"/>
      <c r="BC34" s="972"/>
      <c r="BD34" s="1060"/>
      <c r="BE34" s="1060"/>
      <c r="BF34" s="1060"/>
      <c r="BG34" s="1060"/>
      <c r="BH34" s="1060"/>
      <c r="BI34" s="1110">
        <v>0</v>
      </c>
    </row>
    <row customHeight="1" ht="14.25">
      <c r="Q35" s="983"/>
      <c r="R35" s="1068"/>
      <c r="S35" s="1967"/>
      <c r="T35" s="1055"/>
      <c r="U35" s="1055"/>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201"/>
      <c r="BI35" s="1847">
        <v>0</v>
      </c>
    </row>
    <row s="63055" customFormat="1" customHeight="1" ht="18.75">
      <c r="A36" s="2060"/>
      <c r="B36" s="2060"/>
      <c r="C36" s="2060"/>
      <c r="D36" s="2060"/>
      <c r="E36" s="2060"/>
      <c r="F36" s="2060"/>
      <c r="G36" s="2060"/>
      <c r="H36" s="2060"/>
      <c r="I36" s="2060"/>
      <c r="J36" s="2060"/>
      <c r="K36" s="2060"/>
      <c r="L36" s="2061"/>
      <c r="M36" s="2060"/>
      <c r="N36" s="2060"/>
      <c r="O36" s="2060"/>
      <c r="P36" s="2060"/>
      <c r="Q36" s="2060"/>
      <c r="S36" s="2942" t="s">
        <v>495</v>
      </c>
      <c r="T36" s="2942"/>
      <c r="U36" s="2064"/>
      <c r="V36" s="2956" t="str">
        <f>IF(TITLE_DATE_PR_CHANGE="",IF(TITLE_DATE_PR="","",TITLE_DATE_PR),TITLE_DATE_PR_CHANGE)</f>
        <v>45981</v>
      </c>
      <c r="W36" s="2956"/>
      <c r="X36" s="2956"/>
      <c r="Y36" s="2956"/>
      <c r="Z36" s="2956"/>
      <c r="AA36" s="2956"/>
      <c r="AB36" s="2956"/>
      <c r="AC36" s="1018"/>
      <c r="AD36" s="2956" t="str">
        <f>IF(TITLE_DATE_PR_CHANGE="",IF(TITLE_DATE_PR="","",TITLE_DATE_PR),TITLE_DATE_PR_CHANGE)</f>
        <v>45981</v>
      </c>
      <c r="AE36" s="2956"/>
      <c r="AF36" s="2956"/>
      <c r="AG36" s="2956"/>
      <c r="AH36" s="2956"/>
      <c r="AI36" s="2956"/>
      <c r="AJ36" s="2956"/>
      <c r="AK36" s="2956"/>
      <c r="AL36" s="2956"/>
      <c r="AM36" s="2956"/>
      <c r="AN36" s="2956"/>
      <c r="AO36" s="2956"/>
      <c r="AP36" s="2956"/>
      <c r="AQ36" s="2956"/>
      <c r="AR36" s="2956"/>
      <c r="AS36" s="2956"/>
      <c r="AT36" s="2956"/>
      <c r="AU36" s="2956"/>
      <c r="AV36" s="2956"/>
      <c r="AW36" s="2956"/>
      <c r="AX36" s="2956"/>
      <c r="AY36" s="2956"/>
      <c r="AZ36" s="2956"/>
      <c r="BA36" s="1018"/>
      <c r="BB36" s="1018"/>
      <c r="BC36" s="972"/>
      <c r="BD36" s="1060"/>
      <c r="BE36" s="1060"/>
      <c r="BF36" s="1060"/>
      <c r="BG36" s="1060"/>
      <c r="BH36" s="1060"/>
      <c r="BI36" s="1110">
        <v>0</v>
      </c>
    </row>
    <row s="63055" customFormat="1" customHeight="1" ht="18.75">
      <c r="A37" s="2060"/>
      <c r="B37" s="2060"/>
      <c r="C37" s="2060"/>
      <c r="D37" s="2060"/>
      <c r="E37" s="2060"/>
      <c r="F37" s="2060"/>
      <c r="G37" s="2060"/>
      <c r="H37" s="2060"/>
      <c r="I37" s="2060"/>
      <c r="J37" s="2060"/>
      <c r="K37" s="2060"/>
      <c r="L37" s="2061"/>
      <c r="M37" s="2060"/>
      <c r="N37" s="2060"/>
      <c r="O37" s="2060"/>
      <c r="P37" s="2060"/>
      <c r="Q37" s="2060"/>
      <c r="S37" s="2942" t="s">
        <v>496</v>
      </c>
      <c r="T37" s="2942"/>
      <c r="U37" s="2064"/>
      <c r="V37" s="2943" t="str">
        <f>IF(TITLE_NUMBER_PR_CHANGE="",IF(TITLE_NUMBER_PR="","",TITLE_NUMBER_PR),TITLE_NUMBER_PR_CHANGE)</f>
        <v>Исх-260/1781</v>
      </c>
      <c r="W37" s="2943"/>
      <c r="X37" s="2943"/>
      <c r="Y37" s="2943"/>
      <c r="Z37" s="2943"/>
      <c r="AA37" s="2943"/>
      <c r="AB37" s="2943"/>
      <c r="AC37" s="1018"/>
      <c r="AD37" s="2943" t="str">
        <f>IF(TITLE_NUMBER_PR_CHANGE="",IF(TITLE_NUMBER_PR="","",TITLE_NUMBER_PR),TITLE_NUMBER_PR_CHANGE)</f>
        <v>Исх-260/1781</v>
      </c>
      <c r="AE37" s="2943"/>
      <c r="AF37" s="2943"/>
      <c r="AG37" s="2943"/>
      <c r="AH37" s="2943"/>
      <c r="AI37" s="2943"/>
      <c r="AJ37" s="2943"/>
      <c r="AK37" s="2943"/>
      <c r="AL37" s="2943"/>
      <c r="AM37" s="2943"/>
      <c r="AN37" s="2943"/>
      <c r="AO37" s="2943"/>
      <c r="AP37" s="2943"/>
      <c r="AQ37" s="2943"/>
      <c r="AR37" s="2943"/>
      <c r="AS37" s="2943"/>
      <c r="AT37" s="2943"/>
      <c r="AU37" s="2943"/>
      <c r="AV37" s="2943"/>
      <c r="AW37" s="2943"/>
      <c r="AX37" s="2943"/>
      <c r="AY37" s="2943"/>
      <c r="AZ37" s="2943"/>
      <c r="BA37" s="1018"/>
      <c r="BB37" s="1018"/>
      <c r="BC37" s="972"/>
      <c r="BD37" s="1060"/>
      <c r="BE37" s="1060"/>
      <c r="BF37" s="1060"/>
      <c r="BG37" s="1060"/>
      <c r="BH37" s="1060"/>
      <c r="BI37" s="1110">
        <v>0</v>
      </c>
    </row>
    <row s="63055" customFormat="1" customHeight="1" ht="0">
      <c r="A38" s="2060"/>
      <c r="B38" s="2060"/>
      <c r="C38" s="2060"/>
      <c r="D38" s="2060"/>
      <c r="E38" s="2060"/>
      <c r="F38" s="2060"/>
      <c r="G38" s="2060"/>
      <c r="H38" s="2060"/>
      <c r="I38" s="2060"/>
      <c r="J38" s="2060"/>
      <c r="K38" s="2060"/>
      <c r="L38" s="2061"/>
      <c r="M38" s="2060"/>
      <c r="N38" s="2060"/>
      <c r="O38" s="2060"/>
      <c r="P38" s="2060"/>
      <c r="Q38" s="2060"/>
      <c r="S38" s="1015"/>
      <c r="T38" s="1015"/>
      <c r="U38" s="2146"/>
      <c r="V38" s="1018"/>
      <c r="W38" s="1018"/>
      <c r="X38" s="1018"/>
      <c r="Y38" s="1018"/>
      <c r="Z38" s="1018"/>
      <c r="AA38" s="1018"/>
      <c r="AB38" s="1018"/>
      <c r="AC38" s="970" t="s">
        <v>499</v>
      </c>
      <c r="AD38" s="1018"/>
      <c r="AE38" s="1018"/>
      <c r="AF38" s="1018"/>
      <c r="AG38" s="1018"/>
      <c r="AH38" s="1018"/>
      <c r="AI38" s="1018"/>
      <c r="AJ38" s="1018"/>
      <c r="AK38" s="1018"/>
      <c r="AL38" s="1018"/>
      <c r="AM38" s="1018"/>
      <c r="AN38" s="1018"/>
      <c r="AO38" s="1018"/>
      <c r="AP38" s="1018"/>
      <c r="AQ38" s="1018"/>
      <c r="AR38" s="1018"/>
      <c r="AS38" s="1018"/>
      <c r="AT38" s="1018"/>
      <c r="AU38" s="1018"/>
      <c r="AV38" s="1018"/>
      <c r="AW38" s="1018"/>
      <c r="AX38" s="1018"/>
      <c r="AY38" s="1018"/>
      <c r="AZ38" s="1018"/>
      <c r="BA38" s="970" t="s">
        <v>499</v>
      </c>
      <c r="BD38" s="1060"/>
      <c r="BE38" s="1060"/>
      <c r="BF38" s="1060"/>
      <c r="BG38" s="1060"/>
      <c r="BH38" s="1060"/>
      <c r="BI38" s="1110">
        <v>0</v>
      </c>
    </row>
    <row customHeight="1" ht="14.699999999999998">
      <c r="Q39" s="983"/>
      <c r="R39" s="1068"/>
      <c r="S39" s="1967"/>
      <c r="T39" s="1055"/>
      <c r="U39" s="1936"/>
      <c r="V39" s="2944"/>
      <c r="W39" s="2944"/>
      <c r="X39" s="2944"/>
      <c r="Y39" s="2944"/>
      <c r="Z39" s="2944"/>
      <c r="AA39" s="2944"/>
      <c r="AB39" s="2944"/>
      <c r="AC39" s="2944"/>
      <c r="AD39" s="2944"/>
      <c r="AE39" s="2944"/>
      <c r="AF39" s="2944"/>
      <c r="AG39" s="2944"/>
      <c r="AH39" s="2944"/>
      <c r="AI39" s="2944"/>
      <c r="AJ39" s="2944"/>
      <c r="AK39" s="2944"/>
      <c r="AL39" s="2944"/>
      <c r="AM39" s="2944"/>
      <c r="AN39" s="2944"/>
      <c r="AO39" s="2944"/>
      <c r="AP39" s="2944"/>
      <c r="AQ39" s="2944"/>
      <c r="AR39" s="2944"/>
      <c r="AS39" s="2944"/>
      <c r="AT39" s="2944"/>
      <c r="AU39" s="2944"/>
      <c r="AV39" s="2944"/>
      <c r="AW39" s="2944"/>
      <c r="AX39" s="2944"/>
      <c r="AY39" s="2944"/>
      <c r="AZ39" s="2944"/>
      <c r="BA39" s="2944"/>
      <c r="BI39" s="1847">
        <v>14</v>
      </c>
    </row>
    <row customHeight="1" ht="14.699999999999998">
      <c r="Q40" s="983"/>
      <c r="R40" s="1068"/>
      <c r="S40" s="2819" t="s">
        <v>375</v>
      </c>
      <c r="T40" s="2819"/>
      <c r="U40" s="2819"/>
      <c r="V40" s="2819"/>
      <c r="W40" s="2819"/>
      <c r="X40" s="2819"/>
      <c r="Y40" s="2819"/>
      <c r="Z40" s="2819"/>
      <c r="AA40" s="2819"/>
      <c r="AB40" s="2819"/>
      <c r="AC40" s="2819"/>
      <c r="AD40" s="2819"/>
      <c r="AE40" s="2819"/>
      <c r="AF40" s="2819"/>
      <c r="AG40" s="2819"/>
      <c r="AH40" s="2819"/>
      <c r="AI40" s="2819"/>
      <c r="AJ40" s="2819"/>
      <c r="AK40" s="2819"/>
      <c r="AL40" s="2819"/>
      <c r="AM40" s="2819"/>
      <c r="AN40" s="2819"/>
      <c r="AO40" s="2819"/>
      <c r="AP40" s="2819"/>
      <c r="AQ40" s="2819"/>
      <c r="AR40" s="2819"/>
      <c r="AS40" s="2819"/>
      <c r="AT40" s="2819"/>
      <c r="AU40" s="2819"/>
      <c r="AV40" s="2819"/>
      <c r="AW40" s="2819"/>
      <c r="AX40" s="2819"/>
      <c r="AY40" s="2819"/>
      <c r="AZ40" s="2819"/>
      <c r="BA40" s="2819"/>
      <c r="BB40" s="2819"/>
      <c r="BC40" s="2819" t="s">
        <v>376</v>
      </c>
      <c r="BI40" s="1847">
        <v>14</v>
      </c>
    </row>
    <row customHeight="1" ht="14.699999999999998">
      <c r="Q41" s="983"/>
      <c r="R41" s="1068"/>
      <c r="S41" s="2965" t="s">
        <v>89</v>
      </c>
      <c r="T41" s="2901" t="s">
        <v>581</v>
      </c>
      <c r="U41" s="993"/>
      <c r="V41" s="2966" t="s">
        <v>501</v>
      </c>
      <c r="W41" s="2967"/>
      <c r="X41" s="2967"/>
      <c r="Y41" s="2967"/>
      <c r="Z41" s="2967"/>
      <c r="AA41" s="2967"/>
      <c r="AB41" s="2968"/>
      <c r="AC41" s="2969" t="s">
        <v>502</v>
      </c>
      <c r="AD41" s="3020" t="s">
        <v>582</v>
      </c>
      <c r="AE41" s="2983"/>
      <c r="AF41" s="2983"/>
      <c r="AG41" s="3021"/>
      <c r="AH41" s="3020" t="s">
        <v>583</v>
      </c>
      <c r="AI41" s="2983"/>
      <c r="AJ41" s="2983"/>
      <c r="AK41" s="3021"/>
      <c r="AL41" s="3020" t="s">
        <v>584</v>
      </c>
      <c r="AM41" s="2983"/>
      <c r="AN41" s="2983"/>
      <c r="AO41" s="3021"/>
      <c r="AP41" s="3020" t="s">
        <v>585</v>
      </c>
      <c r="AQ41" s="2983"/>
      <c r="AR41" s="2983"/>
      <c r="AS41" s="3021"/>
      <c r="AT41" s="2966" t="s">
        <v>501</v>
      </c>
      <c r="AU41" s="2967"/>
      <c r="AV41" s="2967"/>
      <c r="AW41" s="2967"/>
      <c r="AX41" s="2967"/>
      <c r="AY41" s="2967"/>
      <c r="AZ41" s="2968"/>
      <c r="BA41" s="2969" t="s">
        <v>502</v>
      </c>
      <c r="BB41" s="2972" t="s">
        <v>504</v>
      </c>
      <c r="BC41" s="2819"/>
      <c r="BI41" s="1847">
        <v>14</v>
      </c>
    </row>
    <row customHeight="1" ht="35.699999999999996">
      <c r="Q42" s="983"/>
      <c r="R42" s="1068"/>
      <c r="S42" s="2965"/>
      <c r="T42" s="2901"/>
      <c r="U42" s="1723"/>
      <c r="V42" s="2884" t="s">
        <v>586</v>
      </c>
      <c r="W42" s="2885"/>
      <c r="X42" s="2884" t="s">
        <v>587</v>
      </c>
      <c r="Y42" s="2885"/>
      <c r="Z42" s="2986" t="s">
        <v>588</v>
      </c>
      <c r="AA42" s="3005"/>
      <c r="AB42" s="3006"/>
      <c r="AC42" s="2970"/>
      <c r="AD42" s="3022"/>
      <c r="AE42" s="3023"/>
      <c r="AF42" s="3023"/>
      <c r="AG42" s="3024"/>
      <c r="AH42" s="3022"/>
      <c r="AI42" s="3023"/>
      <c r="AJ42" s="3023"/>
      <c r="AK42" s="3024"/>
      <c r="AL42" s="3022"/>
      <c r="AM42" s="3023"/>
      <c r="AN42" s="3023"/>
      <c r="AO42" s="3024"/>
      <c r="AP42" s="3022"/>
      <c r="AQ42" s="3023"/>
      <c r="AR42" s="3023"/>
      <c r="AS42" s="3024"/>
      <c r="AT42" s="2884" t="s">
        <v>586</v>
      </c>
      <c r="AU42" s="2885"/>
      <c r="AV42" s="2884" t="s">
        <v>587</v>
      </c>
      <c r="AW42" s="2885"/>
      <c r="AX42" s="2986" t="s">
        <v>588</v>
      </c>
      <c r="AY42" s="3005"/>
      <c r="AZ42" s="3006"/>
      <c r="BA42" s="2970"/>
      <c r="BB42" s="2973"/>
      <c r="BC42" s="2819"/>
      <c r="BI42" s="1847">
        <v>34</v>
      </c>
    </row>
    <row customHeight="1" ht="14.699999999999998">
      <c r="Q43" s="983"/>
      <c r="R43" s="1068"/>
      <c r="S43" s="2965"/>
      <c r="T43" s="2901"/>
      <c r="U43" s="1723"/>
      <c r="V43" s="2892"/>
      <c r="W43" s="2893"/>
      <c r="X43" s="2892"/>
      <c r="Y43" s="2893"/>
      <c r="Z43" s="2987"/>
      <c r="AA43" s="3007"/>
      <c r="AB43" s="3008"/>
      <c r="AC43" s="2970"/>
      <c r="AD43" s="3022"/>
      <c r="AE43" s="3023"/>
      <c r="AF43" s="3023"/>
      <c r="AG43" s="3024"/>
      <c r="AH43" s="3022"/>
      <c r="AI43" s="3023"/>
      <c r="AJ43" s="3023"/>
      <c r="AK43" s="3024"/>
      <c r="AL43" s="3022"/>
      <c r="AM43" s="3023"/>
      <c r="AN43" s="3023"/>
      <c r="AO43" s="3024"/>
      <c r="AP43" s="3022"/>
      <c r="AQ43" s="3023"/>
      <c r="AR43" s="3023"/>
      <c r="AS43" s="3024"/>
      <c r="AT43" s="2892"/>
      <c r="AU43" s="2893"/>
      <c r="AV43" s="2892"/>
      <c r="AW43" s="2893"/>
      <c r="AX43" s="2987"/>
      <c r="AY43" s="3007"/>
      <c r="AZ43" s="3008"/>
      <c r="BA43" s="2970"/>
      <c r="BB43" s="2973"/>
      <c r="BC43" s="2819"/>
      <c r="BI43" s="1847">
        <v>14</v>
      </c>
    </row>
    <row customHeight="1" ht="14.699999999999998">
      <c r="A44" s="2062"/>
      <c r="B44" s="2062" t="s">
        <v>143</v>
      </c>
      <c r="C44" s="2062" t="s">
        <v>144</v>
      </c>
      <c r="D44" s="2062" t="s">
        <v>145</v>
      </c>
      <c r="E44" s="2056" t="s">
        <v>509</v>
      </c>
      <c r="F44" s="2056" t="s">
        <v>510</v>
      </c>
      <c r="G44" s="2056" t="s">
        <v>511</v>
      </c>
      <c r="H44" s="2056" t="s">
        <v>512</v>
      </c>
      <c r="I44" s="2056" t="s">
        <v>513</v>
      </c>
      <c r="J44" s="2056" t="s">
        <v>514</v>
      </c>
      <c r="K44" s="2056" t="s">
        <v>515</v>
      </c>
      <c r="L44" s="2056" t="s">
        <v>490</v>
      </c>
      <c r="Q44" s="983"/>
      <c r="R44" s="1068"/>
      <c r="S44" s="2965"/>
      <c r="T44" s="2901"/>
      <c r="U44" s="994"/>
      <c r="V44" s="2140" t="s">
        <v>552</v>
      </c>
      <c r="W44" s="2140" t="s">
        <v>553</v>
      </c>
      <c r="X44" s="2140" t="s">
        <v>552</v>
      </c>
      <c r="Y44" s="2140" t="s">
        <v>553</v>
      </c>
      <c r="Z44" s="2147" t="s">
        <v>518</v>
      </c>
      <c r="AA44" s="2962" t="s">
        <v>519</v>
      </c>
      <c r="AB44" s="2963"/>
      <c r="AC44" s="2971"/>
      <c r="AD44" s="3025"/>
      <c r="AE44" s="3026"/>
      <c r="AF44" s="3026"/>
      <c r="AG44" s="3027"/>
      <c r="AH44" s="3025"/>
      <c r="AI44" s="3026"/>
      <c r="AJ44" s="3026"/>
      <c r="AK44" s="3027"/>
      <c r="AL44" s="3025"/>
      <c r="AM44" s="3026"/>
      <c r="AN44" s="3026"/>
      <c r="AO44" s="3027"/>
      <c r="AP44" s="3025"/>
      <c r="AQ44" s="3026"/>
      <c r="AR44" s="3026"/>
      <c r="AS44" s="3027"/>
      <c r="AT44" s="2140" t="s">
        <v>552</v>
      </c>
      <c r="AU44" s="2140" t="s">
        <v>553</v>
      </c>
      <c r="AV44" s="2140" t="s">
        <v>552</v>
      </c>
      <c r="AW44" s="2140" t="s">
        <v>553</v>
      </c>
      <c r="AX44" s="2147" t="s">
        <v>518</v>
      </c>
      <c r="AY44" s="2962" t="s">
        <v>519</v>
      </c>
      <c r="AZ44" s="2963"/>
      <c r="BA44" s="2971"/>
      <c r="BB44" s="2974"/>
      <c r="BC44" s="2819"/>
      <c r="BI44" s="1847">
        <v>14</v>
      </c>
    </row>
    <row s="61193" customFormat="1" customHeight="1" ht="11.25" hidden="1">
      <c r="A45" s="2062"/>
      <c r="B45" s="2062"/>
      <c r="C45" s="2062"/>
      <c r="D45" s="2062"/>
      <c r="E45" s="2062"/>
      <c r="F45" s="2062"/>
      <c r="G45" s="2062"/>
      <c r="H45" s="2062"/>
      <c r="I45" s="2062"/>
      <c r="J45" s="2062"/>
      <c r="K45" s="2062"/>
      <c r="L45" s="2056"/>
      <c r="M45" s="2054"/>
      <c r="N45" s="2054"/>
      <c r="O45" s="2054"/>
      <c r="P45" s="1202"/>
      <c r="Q45" s="1946"/>
      <c r="R45" s="1946">
        <v>1</v>
      </c>
      <c r="S45" s="1969" t="s">
        <v>118</v>
      </c>
      <c r="T45" s="1947" t="s">
        <v>103</v>
      </c>
      <c r="U45" s="1937" t="str">
        <f>OFFSET(U45,0,-1)</f>
        <v>2</v>
      </c>
      <c r="V45" s="2143">
        <f>OFFSET(V45,0,-1)+1</f>
        <v>3</v>
      </c>
      <c r="W45" s="2143">
        <f>OFFSET(W45,0,-1)+1</f>
        <v>4</v>
      </c>
      <c r="X45" s="2143">
        <f>OFFSET(X45,0,-1)+1</f>
        <v>5</v>
      </c>
      <c r="Y45" s="2143">
        <f>OFFSET(Y45,0,-1)+1</f>
        <v>6</v>
      </c>
      <c r="Z45" s="2143">
        <f>OFFSET(Z45,0,-1)+1</f>
        <v>7</v>
      </c>
      <c r="AA45" s="2964">
        <f>OFFSET(AA45,0,-1)+1</f>
        <v>8</v>
      </c>
      <c r="AB45" s="2964"/>
      <c r="AC45" s="2143">
        <f>OFFSET(AC45,0,-2)+1</f>
        <v>9</v>
      </c>
      <c r="AD45" s="2143">
        <f>OFFSET(AD45,0,-1)+1</f>
        <v>10</v>
      </c>
      <c r="AE45" s="2143"/>
      <c r="AF45" s="2143"/>
      <c r="AG45" s="2143"/>
      <c r="AH45" s="2143"/>
      <c r="AI45" s="2143"/>
      <c r="AJ45" s="2143"/>
      <c r="AK45" s="2143"/>
      <c r="AL45" s="2143"/>
      <c r="AM45" s="2143"/>
      <c r="AN45" s="2143"/>
      <c r="AO45" s="2143"/>
      <c r="AP45" s="2143"/>
      <c r="AQ45" s="2143"/>
      <c r="AR45" s="2143"/>
      <c r="AS45" s="2143"/>
      <c r="AT45" s="2143"/>
      <c r="AU45" s="2143"/>
      <c r="AV45" s="2143"/>
      <c r="AW45" s="2143">
        <f>OFFSET(AW45,0,-1)+1</f>
        <v>1</v>
      </c>
      <c r="AX45" s="2143">
        <f>OFFSET(AX45,0,-1)+1</f>
        <v>2</v>
      </c>
      <c r="AY45" s="2964">
        <f>OFFSET(AY45,0,-1)+1</f>
        <v>3</v>
      </c>
      <c r="AZ45" s="2964"/>
      <c r="BA45" s="2143">
        <f>OFFSET(BA45,0,-2)+1</f>
        <v>4</v>
      </c>
      <c r="BB45" s="1937">
        <f>OFFSET(BB45,0,-1)</f>
        <v>4</v>
      </c>
      <c r="BC45" s="2143">
        <f>OFFSET(BC45,0,-1)+1</f>
        <v>5</v>
      </c>
      <c r="BD45" s="1203"/>
      <c r="BE45" s="1203"/>
      <c r="BF45" s="1203"/>
      <c r="BG45" s="1203"/>
      <c r="BH45" s="1203"/>
      <c r="BI45" s="1188">
        <v>0</v>
      </c>
    </row>
    <row customHeight="1" ht="22.049999999999997">
      <c r="A46" s="2055" t="s">
        <v>321</v>
      </c>
      <c r="B46" s="2055"/>
      <c r="C46" s="2055"/>
      <c r="D46" s="2055"/>
      <c r="E46" s="2950">
        <v>1</v>
      </c>
      <c r="F46" s="2055"/>
      <c r="G46" s="2055"/>
      <c r="H46" s="2055"/>
      <c r="I46" s="2055"/>
      <c r="J46" s="2055"/>
      <c r="K46" s="2055"/>
      <c r="L46" s="2056"/>
      <c r="M46" s="2057"/>
      <c r="N46" s="2057"/>
      <c r="O46" s="2057"/>
      <c r="P46" s="2101"/>
      <c r="Q46" s="1565"/>
      <c r="R46" s="1047"/>
      <c r="S46" s="2149">
        <f>INDEX(PT_DIFFERENTIATION_NUM_NTAR,MATCH(A46,PT_DIFFERENTIATION_NTAR_ID,0))</f>
        <v>0</v>
      </c>
      <c r="T46" s="990" t="s">
        <v>131</v>
      </c>
      <c r="U46" s="992"/>
      <c r="V46" s="2935"/>
      <c r="W46" s="2935"/>
      <c r="X46" s="2935"/>
      <c r="Y46" s="2935"/>
      <c r="Z46" s="2935"/>
      <c r="AA46" s="2935"/>
      <c r="AB46" s="2935"/>
      <c r="AC46" s="2936"/>
      <c r="AD46" s="2934" t="str">
        <f>INDEX(PT_DIFFERENTIATION_NTAR,MATCH(A46,PT_DIFFERENTIATION_NTAR_ID,0))</f>
        <v/>
      </c>
      <c r="AE46" s="2935"/>
      <c r="AF46" s="2935"/>
      <c r="AG46" s="2935"/>
      <c r="AH46" s="2935"/>
      <c r="AI46" s="2935"/>
      <c r="AJ46" s="2935"/>
      <c r="AK46" s="2935"/>
      <c r="AL46" s="2935"/>
      <c r="AM46" s="2935"/>
      <c r="AN46" s="2935"/>
      <c r="AO46" s="2935"/>
      <c r="AP46" s="2935"/>
      <c r="AQ46" s="2935"/>
      <c r="AR46" s="2935"/>
      <c r="AS46" s="2935"/>
      <c r="AT46" s="2935"/>
      <c r="AU46" s="2935"/>
      <c r="AV46" s="2935"/>
      <c r="AW46" s="2935"/>
      <c r="AX46" s="2935"/>
      <c r="AY46" s="2935"/>
      <c r="AZ46" s="2935"/>
      <c r="BA46" s="2935"/>
      <c r="BB46" s="2936"/>
      <c r="BC46"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92"/>
      <c r="BF46" s="1192" t="str">
        <f>IF(T46="","",T46)</f>
        <v>Наименование тарифа</v>
      </c>
      <c r="BG46" s="1192"/>
      <c r="BH46" s="1192"/>
      <c r="BI46" s="1847">
        <v>21</v>
      </c>
    </row>
    <row customHeight="1" ht="22.049999999999997">
      <c r="A47" s="2055" t="s">
        <v>321</v>
      </c>
      <c r="B47" s="2055" t="s">
        <v>322</v>
      </c>
      <c r="C47" s="2055"/>
      <c r="D47" s="2055"/>
      <c r="E47" s="2951"/>
      <c r="F47" s="2950">
        <v>1</v>
      </c>
      <c r="G47" s="2055"/>
      <c r="H47" s="2055"/>
      <c r="I47" s="2055"/>
      <c r="J47" s="2055"/>
      <c r="K47" s="2055"/>
      <c r="L47" s="2056"/>
      <c r="M47" s="2057"/>
      <c r="N47" s="2057"/>
      <c r="O47" s="2057"/>
      <c r="P47" s="2102"/>
      <c r="Q47" s="2103"/>
      <c r="R47" s="1045"/>
      <c r="S47" s="2149" t="str">
        <f>INDEX(PT_DIFFERENTIATION_NUM_TER,MATCH(B47,PT_DIFFERENTIATION_TER_ID,0))</f>
        <v>.</v>
      </c>
      <c r="T47" s="1000" t="s">
        <v>472</v>
      </c>
      <c r="U47" s="992"/>
      <c r="V47" s="2935"/>
      <c r="W47" s="2935"/>
      <c r="X47" s="2935"/>
      <c r="Y47" s="2935"/>
      <c r="Z47" s="2935"/>
      <c r="AA47" s="2935"/>
      <c r="AB47" s="2935"/>
      <c r="AC47" s="2936"/>
      <c r="AD47" s="2934" t="str">
        <f>INDEX(PT_DIFFERENTIATION_TER,MATCH(B47,PT_DIFFERENTIATION_TER_ID,0))</f>
        <v/>
      </c>
      <c r="AE47" s="2935"/>
      <c r="AF47" s="2935"/>
      <c r="AG47" s="2935"/>
      <c r="AH47" s="2935"/>
      <c r="AI47" s="2935"/>
      <c r="AJ47" s="2935"/>
      <c r="AK47" s="2935"/>
      <c r="AL47" s="2935"/>
      <c r="AM47" s="2935"/>
      <c r="AN47" s="2935"/>
      <c r="AO47" s="2935"/>
      <c r="AP47" s="2935"/>
      <c r="AQ47" s="2935"/>
      <c r="AR47" s="2935"/>
      <c r="AS47" s="2935"/>
      <c r="AT47" s="2935"/>
      <c r="AU47" s="2935"/>
      <c r="AV47" s="2935"/>
      <c r="AW47" s="2935"/>
      <c r="AX47" s="2935"/>
      <c r="AY47" s="2935"/>
      <c r="AZ47" s="2935"/>
      <c r="BA47" s="2935"/>
      <c r="BB47" s="2936"/>
      <c r="BC47" s="1950" t="s">
        <v>473</v>
      </c>
      <c r="BE47" s="1192"/>
      <c r="BF47" s="1192" t="str">
        <f>IF(T47="","",T47)</f>
        <v>Территория действия тарифа</v>
      </c>
      <c r="BG47" s="1192"/>
      <c r="BH47" s="1192"/>
      <c r="BI47" s="1847">
        <v>21</v>
      </c>
    </row>
    <row customHeight="1" ht="43.050000000000004">
      <c r="A48" s="2055" t="s">
        <v>321</v>
      </c>
      <c r="B48" s="2055" t="s">
        <v>322</v>
      </c>
      <c r="C48" s="2055" t="s">
        <v>323</v>
      </c>
      <c r="D48" s="2055"/>
      <c r="E48" s="2951"/>
      <c r="F48" s="2951"/>
      <c r="G48" s="2950">
        <v>1</v>
      </c>
      <c r="H48" s="2055"/>
      <c r="I48" s="2055"/>
      <c r="J48" s="2055"/>
      <c r="K48" s="2055"/>
      <c r="L48" s="2056"/>
      <c r="M48" s="2057"/>
      <c r="N48" s="2057"/>
      <c r="O48" s="2057"/>
      <c r="P48" s="2104"/>
      <c r="Q48" s="2103"/>
      <c r="R48" s="1045"/>
      <c r="S48" s="2149" t="str">
        <f>INDEX(PT_DIFFERENTIATION_NUM_CS,MATCH(C48,PT_DIFFERENTIATION_CS_ID,0))</f>
        <v>..</v>
      </c>
      <c r="T48" s="1001" t="s">
        <v>555</v>
      </c>
      <c r="U48" s="992"/>
      <c r="V48" s="2935"/>
      <c r="W48" s="2935"/>
      <c r="X48" s="2935"/>
      <c r="Y48" s="2935"/>
      <c r="Z48" s="2935"/>
      <c r="AA48" s="2935"/>
      <c r="AB48" s="2935"/>
      <c r="AC48" s="2936"/>
      <c r="AD48" s="2934" t="str">
        <f>INDEX(PT_DIFFERENTIATION_CS,MATCH(C48,PT_DIFFERENTIATION_CS_ID,0))</f>
        <v/>
      </c>
      <c r="AE48" s="2935"/>
      <c r="AF48" s="2935"/>
      <c r="AG48" s="2935"/>
      <c r="AH48" s="2935"/>
      <c r="AI48" s="2935"/>
      <c r="AJ48" s="2935"/>
      <c r="AK48" s="2935"/>
      <c r="AL48" s="2935"/>
      <c r="AM48" s="2935"/>
      <c r="AN48" s="2935"/>
      <c r="AO48" s="2935"/>
      <c r="AP48" s="2935"/>
      <c r="AQ48" s="2935"/>
      <c r="AR48" s="2935"/>
      <c r="AS48" s="2935"/>
      <c r="AT48" s="2935"/>
      <c r="AU48" s="2935"/>
      <c r="AV48" s="2935"/>
      <c r="AW48" s="2935"/>
      <c r="AX48" s="2935"/>
      <c r="AY48" s="2935"/>
      <c r="AZ48" s="2935"/>
      <c r="BA48" s="2935"/>
      <c r="BB48" s="2936"/>
      <c r="BC48" s="1950" t="s">
        <v>556</v>
      </c>
      <c r="BE48" s="1192"/>
      <c r="BF48" s="1192" t="str">
        <f>IF(T48="","",T48)</f>
        <v>Наименование централизованной системы холодного водоснабжения</v>
      </c>
      <c r="BG48" s="1192"/>
      <c r="BH48" s="1192"/>
      <c r="BI48" s="1847">
        <v>41</v>
      </c>
    </row>
    <row s="61695" customFormat="1" customHeight="1" ht="0">
      <c r="A49" s="2035" t="s">
        <v>321</v>
      </c>
      <c r="B49" s="2035" t="s">
        <v>322</v>
      </c>
      <c r="C49" s="2035" t="s">
        <v>323</v>
      </c>
      <c r="D49" s="2035" t="s">
        <v>589</v>
      </c>
      <c r="E49" s="2951"/>
      <c r="F49" s="2951"/>
      <c r="G49" s="2951"/>
      <c r="H49" s="2950">
        <v>1</v>
      </c>
      <c r="I49" s="2035"/>
      <c r="J49" s="2035"/>
      <c r="K49" s="2035"/>
      <c r="L49" s="2038"/>
      <c r="M49" s="2007"/>
      <c r="N49" s="2007"/>
      <c r="O49" s="2007"/>
      <c r="P49" s="2189"/>
      <c r="Q49" s="2190"/>
      <c r="R49" s="1049"/>
      <c r="S49" s="1734"/>
      <c r="T49" s="2191"/>
      <c r="U49" s="2076"/>
      <c r="V49" s="2989"/>
      <c r="W49" s="2989"/>
      <c r="X49" s="2989"/>
      <c r="Y49" s="2989"/>
      <c r="Z49" s="2989"/>
      <c r="AA49" s="2989"/>
      <c r="AB49" s="2989"/>
      <c r="AC49" s="2990"/>
      <c r="AD49" s="2988"/>
      <c r="AE49" s="2989"/>
      <c r="AF49" s="2989"/>
      <c r="AG49" s="2989"/>
      <c r="AH49" s="2989"/>
      <c r="AI49" s="2989"/>
      <c r="AJ49" s="2989"/>
      <c r="AK49" s="2989"/>
      <c r="AL49" s="2989"/>
      <c r="AM49" s="2989"/>
      <c r="AN49" s="2989"/>
      <c r="AO49" s="2989"/>
      <c r="AP49" s="2989"/>
      <c r="AQ49" s="2989"/>
      <c r="AR49" s="2989"/>
      <c r="AS49" s="2989"/>
      <c r="AT49" s="2989"/>
      <c r="AU49" s="2989"/>
      <c r="AV49" s="2989"/>
      <c r="AW49" s="2989"/>
      <c r="AX49" s="2989"/>
      <c r="AY49" s="2989"/>
      <c r="AZ49" s="2989"/>
      <c r="BA49" s="2989"/>
      <c r="BB49" s="2990"/>
      <c r="BC49" s="2077" t="s">
        <v>477</v>
      </c>
      <c r="BE49" s="1192"/>
      <c r="BF49" s="1192" t="str">
        <f>IF(T49="","",T49)</f>
        <v/>
      </c>
      <c r="BG49" s="1192"/>
      <c r="BH49" s="1192"/>
      <c r="BI49" s="1203">
        <v>0</v>
      </c>
    </row>
    <row s="61695" customFormat="1" customHeight="1" ht="0">
      <c r="A50" s="2035" t="s">
        <v>321</v>
      </c>
      <c r="B50" s="2035" t="s">
        <v>322</v>
      </c>
      <c r="C50" s="2035" t="s">
        <v>323</v>
      </c>
      <c r="D50" s="2035" t="s">
        <v>589</v>
      </c>
      <c r="E50" s="2951"/>
      <c r="F50" s="2951"/>
      <c r="G50" s="2951"/>
      <c r="H50" s="2951"/>
      <c r="I50" s="2948" t="str">
        <f>S49&amp;".1"</f>
        <v>.1</v>
      </c>
      <c r="J50" s="2035"/>
      <c r="K50" s="2035"/>
      <c r="L50" s="2038" t="s">
        <v>478</v>
      </c>
      <c r="M50" s="1202"/>
      <c r="N50" s="1202"/>
      <c r="O50" s="1202"/>
      <c r="P50" s="2949">
        <v>1</v>
      </c>
      <c r="Q50" s="2154"/>
      <c r="R50" s="1048"/>
      <c r="S50" s="1734"/>
      <c r="T50" s="2075"/>
      <c r="U50" s="2076"/>
      <c r="V50" s="2989"/>
      <c r="W50" s="2989"/>
      <c r="X50" s="2989"/>
      <c r="Y50" s="2989"/>
      <c r="Z50" s="2989"/>
      <c r="AA50" s="2989"/>
      <c r="AB50" s="2989"/>
      <c r="AC50" s="2990"/>
      <c r="AD50" s="2988"/>
      <c r="AE50" s="2989"/>
      <c r="AF50" s="2989"/>
      <c r="AG50" s="2989"/>
      <c r="AH50" s="2989"/>
      <c r="AI50" s="2989"/>
      <c r="AJ50" s="2989"/>
      <c r="AK50" s="2989"/>
      <c r="AL50" s="2989"/>
      <c r="AM50" s="2989"/>
      <c r="AN50" s="2989"/>
      <c r="AO50" s="2989"/>
      <c r="AP50" s="2989"/>
      <c r="AQ50" s="2989"/>
      <c r="AR50" s="2989"/>
      <c r="AS50" s="2989"/>
      <c r="AT50" s="2989"/>
      <c r="AU50" s="2989"/>
      <c r="AV50" s="2989"/>
      <c r="AW50" s="2989"/>
      <c r="AX50" s="2989"/>
      <c r="AY50" s="2989"/>
      <c r="AZ50" s="2989"/>
      <c r="BA50" s="2989"/>
      <c r="BB50" s="2990"/>
      <c r="BC50" s="2077"/>
      <c r="BE50" s="1192"/>
      <c r="BF50" s="1192" t="str">
        <f>IF(T50="","",T50)</f>
        <v/>
      </c>
      <c r="BG50" s="1192"/>
      <c r="BH50" s="1192"/>
      <c r="BI50" s="1203">
        <v>0</v>
      </c>
    </row>
    <row s="61695" customFormat="1" customHeight="1" ht="0">
      <c r="A51" s="2035" t="s">
        <v>321</v>
      </c>
      <c r="B51" s="2035" t="s">
        <v>322</v>
      </c>
      <c r="C51" s="2035" t="s">
        <v>323</v>
      </c>
      <c r="D51" s="2035" t="s">
        <v>589</v>
      </c>
      <c r="E51" s="2951"/>
      <c r="F51" s="2951"/>
      <c r="G51" s="2951"/>
      <c r="H51" s="2951"/>
      <c r="I51" s="2978"/>
      <c r="J51" s="2948" t="str">
        <f>S49&amp;".1"</f>
        <v>.1</v>
      </c>
      <c r="K51" s="2035"/>
      <c r="L51" s="2038"/>
      <c r="M51" s="1202"/>
      <c r="N51" s="1202"/>
      <c r="O51" s="1202"/>
      <c r="P51" s="2949"/>
      <c r="Q51" s="2949">
        <v>1</v>
      </c>
      <c r="R51" s="1049"/>
      <c r="S51" s="1734"/>
      <c r="T51" s="2091"/>
      <c r="U51" s="2076"/>
      <c r="V51" s="2989"/>
      <c r="W51" s="2989"/>
      <c r="X51" s="2989"/>
      <c r="Y51" s="2989"/>
      <c r="Z51" s="2989"/>
      <c r="AA51" s="2989"/>
      <c r="AB51" s="2989"/>
      <c r="AC51" s="2990"/>
      <c r="AD51" s="2988"/>
      <c r="AE51" s="2989"/>
      <c r="AF51" s="2989"/>
      <c r="AG51" s="2989"/>
      <c r="AH51" s="2989"/>
      <c r="AI51" s="2989"/>
      <c r="AJ51" s="2989"/>
      <c r="AK51" s="2989"/>
      <c r="AL51" s="2989"/>
      <c r="AM51" s="2989"/>
      <c r="AN51" s="3056"/>
      <c r="AO51" s="3056"/>
      <c r="AP51" s="2989"/>
      <c r="AQ51" s="2989"/>
      <c r="AR51" s="2989"/>
      <c r="AS51" s="2989"/>
      <c r="AT51" s="2989"/>
      <c r="AU51" s="2989"/>
      <c r="AV51" s="2989"/>
      <c r="AW51" s="2989"/>
      <c r="AX51" s="2989"/>
      <c r="AY51" s="2989"/>
      <c r="AZ51" s="2989"/>
      <c r="BA51" s="2989"/>
      <c r="BB51" s="2990"/>
      <c r="BC51" s="2077"/>
      <c r="BE51" s="1192"/>
      <c r="BF51" s="1192" t="str">
        <f>IF(T51="","",T51)</f>
        <v/>
      </c>
      <c r="BG51" s="1192"/>
      <c r="BH51" s="1192"/>
      <c r="BI51" s="1203">
        <v>0</v>
      </c>
    </row>
    <row customHeight="1" ht="11.549999999999999">
      <c r="A52" s="2055" t="s">
        <v>321</v>
      </c>
      <c r="B52" s="2055" t="s">
        <v>322</v>
      </c>
      <c r="C52" s="2055" t="s">
        <v>323</v>
      </c>
      <c r="D52" s="2055" t="s">
        <v>589</v>
      </c>
      <c r="E52" s="2951"/>
      <c r="F52" s="2951"/>
      <c r="G52" s="2951"/>
      <c r="H52" s="2951"/>
      <c r="I52" s="2978"/>
      <c r="J52" s="2978"/>
      <c r="K52" s="2948" t="str">
        <f>S48&amp;".1"</f>
        <v>...1</v>
      </c>
      <c r="L52" s="2056"/>
      <c r="P52" s="2949"/>
      <c r="Q52" s="2949"/>
      <c r="R52" s="1049">
        <v>1</v>
      </c>
      <c r="S52" s="3033" t="str">
        <f>$K52</f>
        <v>...1</v>
      </c>
      <c r="T52" s="3052"/>
      <c r="U52" s="992"/>
      <c r="V52" s="1443"/>
      <c r="W52" s="1949"/>
      <c r="X52" s="1443"/>
      <c r="Y52" s="1949"/>
      <c r="Z52" s="2426"/>
      <c r="AA52" s="2151" t="s">
        <v>67</v>
      </c>
      <c r="AB52" s="2426"/>
      <c r="AC52" s="2151" t="s">
        <v>67</v>
      </c>
      <c r="AD52" s="2877" t="s">
        <v>67</v>
      </c>
      <c r="AE52" s="3018"/>
      <c r="AF52" s="2897">
        <v>1</v>
      </c>
      <c r="AG52" s="3055"/>
      <c r="AH52" s="2799" t="s">
        <v>67</v>
      </c>
      <c r="AI52" s="3018"/>
      <c r="AJ52" s="2897">
        <v>1</v>
      </c>
      <c r="AK52" s="3019" t="s">
        <v>28</v>
      </c>
      <c r="AL52" s="2799" t="s">
        <v>67</v>
      </c>
      <c r="AM52" s="2884"/>
      <c r="AN52" s="2897">
        <v>1</v>
      </c>
      <c r="AO52" s="3049"/>
      <c r="AP52" s="3050" t="s">
        <v>67</v>
      </c>
      <c r="AQ52" s="1003"/>
      <c r="AR52" s="2155">
        <v>1</v>
      </c>
      <c r="AS52" s="2158" t="s">
        <v>28</v>
      </c>
      <c r="AT52" s="1443"/>
      <c r="AU52" s="1949"/>
      <c r="AV52" s="1443"/>
      <c r="AW52" s="1949"/>
      <c r="AX52" s="2426"/>
      <c r="AY52" s="2151" t="s">
        <v>67</v>
      </c>
      <c r="AZ52" s="2426"/>
      <c r="BA52" s="2151" t="s">
        <v>67</v>
      </c>
      <c r="BB52" s="2040"/>
      <c r="BC52" s="2945" t="s">
        <v>575</v>
      </c>
      <c r="BE52" s="1192"/>
      <c r="BF52" s="1192" t="str">
        <f>IF(T52="","",T52)</f>
        <v/>
      </c>
      <c r="BG52" s="1192"/>
      <c r="BH52" s="1192"/>
      <c r="BI52" s="1847">
        <v>11</v>
      </c>
    </row>
    <row customHeight="1" ht="11.549999999999999">
      <c r="A53" s="2055"/>
      <c r="B53" s="2055"/>
      <c r="C53" s="2055"/>
      <c r="D53" s="2055"/>
      <c r="E53" s="2951"/>
      <c r="F53" s="2951"/>
      <c r="G53" s="2951"/>
      <c r="H53" s="2951"/>
      <c r="I53" s="2978"/>
      <c r="J53" s="2978"/>
      <c r="K53" s="2948"/>
      <c r="L53" s="2056"/>
      <c r="P53" s="2949"/>
      <c r="Q53" s="2949"/>
      <c r="R53" s="1049"/>
      <c r="S53" s="3034"/>
      <c r="T53" s="3053"/>
      <c r="U53" s="992"/>
      <c r="V53" s="2085"/>
      <c r="W53" s="2188"/>
      <c r="X53" s="2085"/>
      <c r="Y53" s="2188"/>
      <c r="Z53" s="2085"/>
      <c r="AA53" s="2085"/>
      <c r="AB53" s="2085"/>
      <c r="AC53" s="2085"/>
      <c r="AD53" s="2878"/>
      <c r="AE53" s="3018"/>
      <c r="AF53" s="2897"/>
      <c r="AG53" s="3055"/>
      <c r="AH53" s="2799"/>
      <c r="AI53" s="3018"/>
      <c r="AJ53" s="2897"/>
      <c r="AK53" s="3019"/>
      <c r="AL53" s="2799"/>
      <c r="AM53" s="2892"/>
      <c r="AN53" s="2897"/>
      <c r="AO53" s="3049"/>
      <c r="AP53" s="3051"/>
      <c r="AQ53" s="1008"/>
      <c r="AR53" s="1108"/>
      <c r="AS53" s="1108" t="s">
        <v>576</v>
      </c>
      <c r="AT53" s="2085"/>
      <c r="AU53" s="2188"/>
      <c r="AV53" s="2085"/>
      <c r="AW53" s="2188"/>
      <c r="AX53" s="2085"/>
      <c r="AY53" s="2085"/>
      <c r="AZ53" s="2085"/>
      <c r="BA53" s="2085"/>
      <c r="BB53" s="2089"/>
      <c r="BC53" s="2946"/>
      <c r="BE53" s="1192"/>
      <c r="BF53" s="1192"/>
      <c r="BG53" s="1192"/>
      <c r="BH53" s="1192"/>
      <c r="BI53" s="1847">
        <v>11</v>
      </c>
    </row>
    <row customHeight="1" ht="11.549999999999999">
      <c r="A54" s="2055" t="s">
        <v>321</v>
      </c>
      <c r="B54" s="2055"/>
      <c r="C54" s="2055"/>
      <c r="D54" s="2055"/>
      <c r="E54" s="2951"/>
      <c r="F54" s="2951"/>
      <c r="G54" s="2951"/>
      <c r="H54" s="2951"/>
      <c r="I54" s="2978"/>
      <c r="J54" s="2978"/>
      <c r="K54" s="2948"/>
      <c r="L54" s="2056"/>
      <c r="P54" s="2949"/>
      <c r="Q54" s="2949"/>
      <c r="R54" s="1049"/>
      <c r="S54" s="3034"/>
      <c r="T54" s="3053"/>
      <c r="U54" s="992"/>
      <c r="V54" s="2085"/>
      <c r="W54" s="2188"/>
      <c r="X54" s="2085"/>
      <c r="Y54" s="2188"/>
      <c r="Z54" s="2085"/>
      <c r="AA54" s="2085"/>
      <c r="AB54" s="2085"/>
      <c r="AC54" s="2085"/>
      <c r="AD54" s="2878"/>
      <c r="AE54" s="3018"/>
      <c r="AF54" s="2897"/>
      <c r="AG54" s="3055"/>
      <c r="AH54" s="2799"/>
      <c r="AI54" s="3018"/>
      <c r="AJ54" s="2897"/>
      <c r="AK54" s="3019"/>
      <c r="AL54" s="2799"/>
      <c r="AM54" s="1008"/>
      <c r="AN54" s="2192"/>
      <c r="AO54" s="2192" t="s">
        <v>577</v>
      </c>
      <c r="AP54" s="1108"/>
      <c r="AQ54" s="1108"/>
      <c r="AR54" s="1108"/>
      <c r="AS54" s="2085"/>
      <c r="AT54" s="2085"/>
      <c r="AU54" s="2188"/>
      <c r="AV54" s="2085"/>
      <c r="AW54" s="2188"/>
      <c r="AX54" s="2085"/>
      <c r="AY54" s="2085"/>
      <c r="AZ54" s="2085"/>
      <c r="BA54" s="2085"/>
      <c r="BB54" s="2089"/>
      <c r="BC54" s="2946"/>
      <c r="BE54" s="1192"/>
      <c r="BF54" s="1192"/>
      <c r="BG54" s="1192"/>
      <c r="BH54" s="1192"/>
      <c r="BI54" s="1847">
        <v>11</v>
      </c>
    </row>
    <row customHeight="1" ht="11.549999999999999">
      <c r="A55" s="2055" t="s">
        <v>321</v>
      </c>
      <c r="B55" s="2055"/>
      <c r="C55" s="2055"/>
      <c r="D55" s="2055"/>
      <c r="E55" s="2951"/>
      <c r="F55" s="2951"/>
      <c r="G55" s="2951"/>
      <c r="H55" s="2951"/>
      <c r="I55" s="2978"/>
      <c r="J55" s="2978"/>
      <c r="K55" s="2948"/>
      <c r="L55" s="2056"/>
      <c r="P55" s="2949"/>
      <c r="Q55" s="2949"/>
      <c r="R55" s="1049"/>
      <c r="S55" s="3034"/>
      <c r="T55" s="3053"/>
      <c r="U55" s="992"/>
      <c r="V55" s="2085"/>
      <c r="W55" s="2188"/>
      <c r="X55" s="2085"/>
      <c r="Y55" s="2188"/>
      <c r="Z55" s="2085"/>
      <c r="AA55" s="2085"/>
      <c r="AB55" s="2085"/>
      <c r="AC55" s="2085"/>
      <c r="AD55" s="2878"/>
      <c r="AE55" s="3018"/>
      <c r="AF55" s="2897"/>
      <c r="AG55" s="3055"/>
      <c r="AH55" s="2799"/>
      <c r="AI55" s="986"/>
      <c r="AJ55" s="1107"/>
      <c r="AK55" s="1005" t="s">
        <v>578</v>
      </c>
      <c r="AL55" s="2085"/>
      <c r="AM55" s="2085"/>
      <c r="AN55" s="2085"/>
      <c r="AO55" s="2085"/>
      <c r="AP55" s="2085"/>
      <c r="AQ55" s="2085"/>
      <c r="AR55" s="2085"/>
      <c r="AS55" s="2085"/>
      <c r="AT55" s="2085"/>
      <c r="AU55" s="2188"/>
      <c r="AV55" s="2085"/>
      <c r="AW55" s="2188"/>
      <c r="AX55" s="2085"/>
      <c r="AY55" s="2085"/>
      <c r="AZ55" s="2085"/>
      <c r="BA55" s="2085"/>
      <c r="BB55" s="2089"/>
      <c r="BC55" s="2946"/>
      <c r="BE55" s="1192"/>
      <c r="BF55" s="1192"/>
      <c r="BG55" s="1192"/>
      <c r="BH55" s="1192"/>
      <c r="BI55" s="1847">
        <v>11</v>
      </c>
    </row>
    <row customHeight="1" ht="11.549999999999999">
      <c r="A56" s="2055" t="s">
        <v>321</v>
      </c>
      <c r="B56" s="2055" t="s">
        <v>322</v>
      </c>
      <c r="C56" s="2055" t="s">
        <v>323</v>
      </c>
      <c r="D56" s="2055" t="s">
        <v>589</v>
      </c>
      <c r="E56" s="2951"/>
      <c r="F56" s="2951"/>
      <c r="G56" s="2951"/>
      <c r="H56" s="2951"/>
      <c r="I56" s="2978"/>
      <c r="J56" s="2978"/>
      <c r="K56" s="2948"/>
      <c r="L56" s="2056"/>
      <c r="P56" s="2949"/>
      <c r="Q56" s="2949"/>
      <c r="R56" s="1049"/>
      <c r="S56" s="3035"/>
      <c r="T56" s="3054"/>
      <c r="U56" s="992"/>
      <c r="V56" s="2085"/>
      <c r="W56" s="2086" t="str">
        <f>Z52&amp;"-"&amp;AB52</f>
        <v>-</v>
      </c>
      <c r="X56" s="2085"/>
      <c r="Y56" s="2086" t="str">
        <f>AB52&amp;"-"&amp;AD52</f>
        <v>-да</v>
      </c>
      <c r="Z56" s="2085"/>
      <c r="AA56" s="2085"/>
      <c r="AB56" s="2085"/>
      <c r="AC56" s="2085"/>
      <c r="AD56" s="2804"/>
      <c r="AE56" s="1004"/>
      <c r="AF56" s="1006"/>
      <c r="AG56" s="1108" t="s">
        <v>579</v>
      </c>
      <c r="AH56" s="2085"/>
      <c r="AI56" s="2085"/>
      <c r="AJ56" s="2085"/>
      <c r="AK56" s="2085"/>
      <c r="AL56" s="2085"/>
      <c r="AM56" s="2085"/>
      <c r="AN56" s="2085"/>
      <c r="AO56" s="2085"/>
      <c r="AP56" s="2085"/>
      <c r="AQ56" s="2085"/>
      <c r="AR56" s="2085"/>
      <c r="AS56" s="2085"/>
      <c r="AT56" s="2085"/>
      <c r="AU56" s="2086" t="str">
        <f>AX52&amp;"-"&amp;AZ52</f>
        <v>-</v>
      </c>
      <c r="AV56" s="2085"/>
      <c r="AW56" s="2086" t="str">
        <f>AZ52&amp;"-"&amp;BB52</f>
        <v>-</v>
      </c>
      <c r="AX56" s="2085"/>
      <c r="AY56" s="2085"/>
      <c r="AZ56" s="2085"/>
      <c r="BA56" s="2085"/>
      <c r="BB56" s="2088" t="str">
        <f>BE52&amp;"-"&amp;BG52</f>
        <v>-</v>
      </c>
      <c r="BC56" s="2946"/>
      <c r="BE56" s="1192"/>
      <c r="BF56" s="1192" t="str">
        <f>IF(T56="","",T56)</f>
        <v/>
      </c>
      <c r="BG56" s="1192"/>
      <c r="BH56" s="1192"/>
      <c r="BI56" s="1847">
        <v>11</v>
      </c>
    </row>
    <row customHeight="1" ht="11.549999999999999">
      <c r="A57" s="2055" t="s">
        <v>321</v>
      </c>
      <c r="B57" s="2055" t="s">
        <v>322</v>
      </c>
      <c r="C57" s="2055" t="s">
        <v>323</v>
      </c>
      <c r="D57" s="2055" t="s">
        <v>589</v>
      </c>
      <c r="E57" s="2951"/>
      <c r="F57" s="2951"/>
      <c r="G57" s="2951"/>
      <c r="H57" s="2951"/>
      <c r="I57" s="2978"/>
      <c r="J57" s="2948"/>
      <c r="K57" s="2055"/>
      <c r="L57" s="2056"/>
      <c r="P57" s="2949"/>
      <c r="Q57" s="2949"/>
      <c r="R57" s="1048"/>
      <c r="S57" s="1970"/>
      <c r="T57" s="979" t="s">
        <v>542</v>
      </c>
      <c r="U57" s="1059"/>
      <c r="V57" s="1059"/>
      <c r="W57" s="1059"/>
      <c r="X57" s="1059"/>
      <c r="Y57" s="1059"/>
      <c r="Z57" s="1059"/>
      <c r="AA57" s="1059"/>
      <c r="AB57" s="1059"/>
      <c r="AC57" s="1016"/>
      <c r="AD57" s="2197"/>
      <c r="AE57" s="1059"/>
      <c r="AF57" s="1059"/>
      <c r="AG57" s="1059"/>
      <c r="AH57" s="1059"/>
      <c r="AI57" s="1059"/>
      <c r="AJ57" s="1059"/>
      <c r="AK57" s="1059"/>
      <c r="AL57" s="1059"/>
      <c r="AM57" s="1059"/>
      <c r="AN57" s="1059"/>
      <c r="AO57" s="1059"/>
      <c r="AP57" s="1059"/>
      <c r="AQ57" s="1059"/>
      <c r="AR57" s="1059"/>
      <c r="AS57" s="1059"/>
      <c r="AT57" s="1059"/>
      <c r="AU57" s="1059"/>
      <c r="AV57" s="1059"/>
      <c r="AW57" s="1059"/>
      <c r="AX57" s="1059"/>
      <c r="AY57" s="1059"/>
      <c r="AZ57" s="1059"/>
      <c r="BA57" s="1059"/>
      <c r="BB57" s="1016"/>
      <c r="BC57" s="2947"/>
      <c r="BE57" s="1192"/>
      <c r="BF57" s="1192" t="str">
        <f>IF(T57="","",T57)</f>
        <v>Добавить строку</v>
      </c>
      <c r="BG57" s="1192"/>
      <c r="BH57" s="1192"/>
      <c r="BI57" s="1847">
        <v>11</v>
      </c>
    </row>
    <row s="61695" customFormat="1" customHeight="1" ht="0">
      <c r="A58" s="2035" t="s">
        <v>321</v>
      </c>
      <c r="B58" s="2035" t="s">
        <v>322</v>
      </c>
      <c r="C58" s="2035" t="s">
        <v>323</v>
      </c>
      <c r="D58" s="2035" t="s">
        <v>589</v>
      </c>
      <c r="E58" s="2951"/>
      <c r="F58" s="2951"/>
      <c r="G58" s="2951"/>
      <c r="H58" s="2951"/>
      <c r="I58" s="2948"/>
      <c r="J58" s="2035"/>
      <c r="K58" s="2035"/>
      <c r="L58" s="2038"/>
      <c r="M58" s="1202"/>
      <c r="N58" s="1202"/>
      <c r="O58" s="1202"/>
      <c r="P58" s="2949"/>
      <c r="Q58" s="2154"/>
      <c r="R58" s="1048"/>
      <c r="S58" s="2078"/>
      <c r="T58" s="2079"/>
      <c r="U58" s="2080"/>
      <c r="V58" s="2080"/>
      <c r="W58" s="2080"/>
      <c r="X58" s="2080"/>
      <c r="Y58" s="2080"/>
      <c r="Z58" s="2080"/>
      <c r="AA58" s="2080"/>
      <c r="AB58" s="2080"/>
      <c r="AC58" s="2080"/>
      <c r="AD58" s="2080"/>
      <c r="AE58" s="2080"/>
      <c r="AF58" s="2080"/>
      <c r="AG58" s="2080"/>
      <c r="AH58" s="2080"/>
      <c r="AI58" s="2080"/>
      <c r="AJ58" s="2080"/>
      <c r="AK58" s="2080"/>
      <c r="AL58" s="2080"/>
      <c r="AM58" s="2080"/>
      <c r="AN58" s="2080"/>
      <c r="AO58" s="2080"/>
      <c r="AP58" s="2080"/>
      <c r="AQ58" s="2080"/>
      <c r="AR58" s="2080"/>
      <c r="AS58" s="2080"/>
      <c r="AT58" s="2080"/>
      <c r="AU58" s="2080"/>
      <c r="AV58" s="2080"/>
      <c r="AW58" s="2080"/>
      <c r="AX58" s="2080"/>
      <c r="AY58" s="2080"/>
      <c r="AZ58" s="2080"/>
      <c r="BA58" s="2080"/>
      <c r="BB58" s="2080"/>
      <c r="BC58" s="2081"/>
      <c r="BE58" s="1192"/>
      <c r="BF58" s="1192" t="str">
        <f>IF(T58="","",T58)</f>
        <v/>
      </c>
      <c r="BG58" s="1192"/>
      <c r="BH58" s="1192"/>
      <c r="BI58" s="1203">
        <v>0</v>
      </c>
    </row>
    <row s="61695" customFormat="1" customHeight="1" ht="0">
      <c r="A59" s="2035" t="s">
        <v>321</v>
      </c>
      <c r="B59" s="2035" t="s">
        <v>322</v>
      </c>
      <c r="C59" s="2035" t="s">
        <v>323</v>
      </c>
      <c r="D59" s="2035" t="s">
        <v>589</v>
      </c>
      <c r="E59" s="2951"/>
      <c r="F59" s="2951"/>
      <c r="G59" s="2951"/>
      <c r="H59" s="2950"/>
      <c r="I59" s="2035"/>
      <c r="J59" s="2035"/>
      <c r="K59" s="2035"/>
      <c r="L59" s="2038"/>
      <c r="M59" s="2007"/>
      <c r="N59" s="2007"/>
      <c r="O59" s="1210"/>
      <c r="P59" s="1072"/>
      <c r="Q59" s="2036"/>
      <c r="R59" s="2093"/>
      <c r="S59" s="2078"/>
      <c r="T59" s="2079"/>
      <c r="U59" s="2080"/>
      <c r="V59" s="2080"/>
      <c r="W59" s="2080"/>
      <c r="X59" s="2080"/>
      <c r="Y59" s="2080"/>
      <c r="Z59" s="2080"/>
      <c r="AA59" s="2080"/>
      <c r="AB59" s="2080"/>
      <c r="AC59" s="2080"/>
      <c r="AD59" s="2080"/>
      <c r="AE59" s="2080"/>
      <c r="AF59" s="2080"/>
      <c r="AG59" s="2080"/>
      <c r="AH59" s="2080"/>
      <c r="AI59" s="2080"/>
      <c r="AJ59" s="2080"/>
      <c r="AK59" s="2080"/>
      <c r="AL59" s="2080"/>
      <c r="AM59" s="2080"/>
      <c r="AN59" s="2080"/>
      <c r="AO59" s="2080"/>
      <c r="AP59" s="2080"/>
      <c r="AQ59" s="2080"/>
      <c r="AR59" s="2080"/>
      <c r="AS59" s="2080"/>
      <c r="AT59" s="2080"/>
      <c r="AU59" s="2080"/>
      <c r="AV59" s="2080"/>
      <c r="AW59" s="2080"/>
      <c r="AX59" s="2080"/>
      <c r="AY59" s="2080"/>
      <c r="AZ59" s="2080"/>
      <c r="BA59" s="2080"/>
      <c r="BB59" s="2080"/>
      <c r="BC59" s="2081"/>
      <c r="BE59" s="1192"/>
      <c r="BF59" s="1192" t="str">
        <f>IF(T59="","",T59)</f>
        <v/>
      </c>
      <c r="BG59" s="1192"/>
      <c r="BH59" s="1192"/>
      <c r="BI59" s="1203">
        <v>0</v>
      </c>
    </row>
    <row s="61695" customFormat="1" customHeight="1" ht="0">
      <c r="A60" s="2035" t="s">
        <v>321</v>
      </c>
      <c r="B60" s="2035" t="s">
        <v>322</v>
      </c>
      <c r="C60" s="2035" t="s">
        <v>323</v>
      </c>
      <c r="D60" s="2006"/>
      <c r="E60" s="2951"/>
      <c r="F60" s="2951"/>
      <c r="G60" s="2950"/>
      <c r="H60" s="2006"/>
      <c r="I60" s="2006"/>
      <c r="J60" s="2006"/>
      <c r="K60" s="2006"/>
      <c r="L60" s="2156"/>
      <c r="M60" s="2007"/>
      <c r="N60" s="2007"/>
      <c r="P60" s="2008"/>
      <c r="Q60" s="2009"/>
      <c r="R60" s="2008"/>
      <c r="S60" s="2014"/>
      <c r="T60" s="2017"/>
      <c r="U60" s="2016"/>
      <c r="V60" s="2016"/>
      <c r="W60" s="2016"/>
      <c r="X60" s="2016"/>
      <c r="Y60" s="2016"/>
      <c r="Z60" s="2016"/>
      <c r="AA60" s="2016"/>
      <c r="AB60" s="2016"/>
      <c r="AC60" s="2016"/>
      <c r="AD60" s="2016"/>
      <c r="AE60" s="2016"/>
      <c r="AF60" s="2016"/>
      <c r="AG60" s="2016"/>
      <c r="AH60" s="2016"/>
      <c r="AI60" s="2016"/>
      <c r="AJ60" s="2016"/>
      <c r="AK60" s="2016"/>
      <c r="AL60" s="2016"/>
      <c r="AM60" s="2016"/>
      <c r="AN60" s="2016"/>
      <c r="AO60" s="2016"/>
      <c r="AP60" s="2016"/>
      <c r="AQ60" s="2016"/>
      <c r="AR60" s="2016"/>
      <c r="AS60" s="2016"/>
      <c r="AT60" s="2016"/>
      <c r="AU60" s="2016"/>
      <c r="AV60" s="2016"/>
      <c r="AW60" s="2016"/>
      <c r="AX60" s="2016"/>
      <c r="AY60" s="2016"/>
      <c r="AZ60" s="2016"/>
      <c r="BA60" s="2016"/>
      <c r="BB60" s="2016"/>
      <c r="BC60" s="2016"/>
      <c r="BE60" s="1481"/>
      <c r="BF60" s="1481" t="str">
        <f>IF(T60="","",T60)</f>
        <v/>
      </c>
      <c r="BG60" s="1481"/>
      <c r="BH60" s="1481"/>
      <c r="BI60" s="1210">
        <v>0</v>
      </c>
    </row>
    <row s="61695" customFormat="1" customHeight="1" ht="0">
      <c r="A61" s="2035" t="s">
        <v>321</v>
      </c>
      <c r="B61" s="2035" t="s">
        <v>322</v>
      </c>
      <c r="C61" s="2006"/>
      <c r="D61" s="2006"/>
      <c r="E61" s="2951"/>
      <c r="F61" s="2950"/>
      <c r="G61" s="2006"/>
      <c r="H61" s="2006"/>
      <c r="I61" s="2006"/>
      <c r="J61" s="2006"/>
      <c r="K61" s="2006"/>
      <c r="L61" s="2156"/>
      <c r="M61" s="2013"/>
      <c r="N61" s="2013"/>
      <c r="P61" s="2008"/>
      <c r="Q61" s="2009"/>
      <c r="R61" s="2008"/>
      <c r="S61" s="2014"/>
      <c r="T61" s="2017" t="s">
        <v>172</v>
      </c>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c r="AS61" s="2016"/>
      <c r="AT61" s="2016"/>
      <c r="AU61" s="2016"/>
      <c r="AV61" s="2016"/>
      <c r="AW61" s="2016"/>
      <c r="AX61" s="2016"/>
      <c r="AY61" s="2016"/>
      <c r="AZ61" s="2016"/>
      <c r="BA61" s="2016"/>
      <c r="BB61" s="2016"/>
      <c r="BC61" s="2016"/>
      <c r="BE61" s="1481"/>
      <c r="BF61" s="1481" t="str">
        <f>IF(T61="","",T61)</f>
        <v>Добавить централизованную систему для дифференциации</v>
      </c>
      <c r="BG61" s="1481"/>
      <c r="BH61" s="1481"/>
      <c r="BI61" s="1210">
        <v>0</v>
      </c>
    </row>
    <row s="61695" customFormat="1" customHeight="1" ht="0">
      <c r="A62" s="2035" t="s">
        <v>321</v>
      </c>
      <c r="B62" s="2035"/>
      <c r="C62" s="2035"/>
      <c r="D62" s="2035"/>
      <c r="E62" s="2950"/>
      <c r="F62" s="2035"/>
      <c r="G62" s="2035"/>
      <c r="H62" s="2035"/>
      <c r="I62" s="2035"/>
      <c r="J62" s="2035"/>
      <c r="K62" s="2035"/>
      <c r="L62" s="2038"/>
      <c r="M62" s="2013"/>
      <c r="N62" s="2013"/>
      <c r="O62" s="1210"/>
      <c r="P62" s="1072"/>
      <c r="Q62" s="2036"/>
      <c r="R62" s="1072"/>
      <c r="S62" s="2014"/>
      <c r="T62" s="2017" t="s">
        <v>173</v>
      </c>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c r="AS62" s="2016"/>
      <c r="AT62" s="2016"/>
      <c r="AU62" s="2016"/>
      <c r="AV62" s="2016"/>
      <c r="AW62" s="2016"/>
      <c r="AX62" s="2016"/>
      <c r="AY62" s="2016"/>
      <c r="AZ62" s="2016"/>
      <c r="BA62" s="2016"/>
      <c r="BB62" s="2016"/>
      <c r="BC62" s="2016"/>
      <c r="BE62" s="1192"/>
      <c r="BF62" s="1192" t="str">
        <f>IF(T62="","",T62)</f>
        <v>Добавить территорию для дифференциации</v>
      </c>
      <c r="BG62" s="1192"/>
      <c r="BH62" s="1192"/>
      <c r="BI62" s="1203">
        <v>0</v>
      </c>
    </row>
    <row s="61695" customFormat="1" customHeight="1" ht="0">
      <c r="A63" s="2006"/>
      <c r="B63" s="2006"/>
      <c r="C63" s="2006"/>
      <c r="D63" s="2006"/>
      <c r="E63" s="2035"/>
      <c r="F63" s="2006"/>
      <c r="G63" s="2006"/>
      <c r="H63" s="2006"/>
      <c r="I63" s="2006"/>
      <c r="J63" s="2006"/>
      <c r="K63" s="2006"/>
      <c r="L63" s="2156"/>
      <c r="M63" s="2013"/>
      <c r="N63" s="2013"/>
      <c r="P63" s="2008"/>
      <c r="Q63" s="2009"/>
      <c r="R63" s="2008"/>
      <c r="S63" s="2014"/>
      <c r="T63" s="2017" t="s">
        <v>186</v>
      </c>
      <c r="U63" s="2016"/>
      <c r="V63" s="2016"/>
      <c r="W63" s="2016"/>
      <c r="X63" s="2016"/>
      <c r="Y63" s="2016"/>
      <c r="Z63" s="2016"/>
      <c r="AA63" s="2016"/>
      <c r="AB63" s="2016"/>
      <c r="AC63" s="2016"/>
      <c r="AD63" s="2016"/>
      <c r="AE63" s="2016"/>
      <c r="AF63" s="2016"/>
      <c r="AG63" s="2016"/>
      <c r="AH63" s="2016"/>
      <c r="AI63" s="2016"/>
      <c r="AJ63" s="2016"/>
      <c r="AK63" s="2016"/>
      <c r="AL63" s="2016"/>
      <c r="AM63" s="2016"/>
      <c r="AN63" s="2016"/>
      <c r="AO63" s="2016"/>
      <c r="AP63" s="2016"/>
      <c r="AQ63" s="2016"/>
      <c r="AR63" s="2016"/>
      <c r="AS63" s="2016"/>
      <c r="AT63" s="2016"/>
      <c r="AU63" s="2016"/>
      <c r="AV63" s="2016"/>
      <c r="AW63" s="2016"/>
      <c r="AX63" s="2016"/>
      <c r="AY63" s="2016"/>
      <c r="AZ63" s="2016"/>
      <c r="BA63" s="2016"/>
      <c r="BB63" s="2016"/>
      <c r="BC63" s="2016"/>
      <c r="BE63" s="1481"/>
      <c r="BF63" s="1481" t="str">
        <f>IF(T63="","",T63)</f>
        <v>Добавить наименование тарифа</v>
      </c>
      <c r="BG63" s="1481"/>
      <c r="BH63" s="1481"/>
      <c r="BI63" s="1210">
        <v>0</v>
      </c>
    </row>
    <row customHeight="1" ht="11.549999999999999">
      <c r="M64" s="1852"/>
      <c r="N64" s="1852"/>
      <c r="O64" s="1229"/>
      <c r="P64" s="1852"/>
      <c r="Q64" s="1852"/>
      <c r="R64" s="1847"/>
      <c r="S64" s="1847"/>
      <c r="BD64" s="1847"/>
      <c r="BE64" s="1847"/>
      <c r="BF64" s="1847"/>
      <c r="BG64" s="1847"/>
      <c r="BH64" s="1847"/>
      <c r="BI64" s="1847">
        <v>11</v>
      </c>
    </row>
    <row customHeight="1" ht="19.95">
      <c r="O65" s="1229"/>
      <c r="S65" s="1945"/>
      <c r="T65" s="2977"/>
      <c r="U65" s="2977"/>
      <c r="V65" s="2977"/>
      <c r="W65" s="2977"/>
      <c r="X65" s="2977"/>
      <c r="Y65" s="2977"/>
      <c r="Z65" s="2977"/>
      <c r="AA65" s="2977"/>
      <c r="AB65" s="2977"/>
      <c r="AC65" s="2977"/>
      <c r="AD65" s="2977"/>
      <c r="AE65" s="2977"/>
      <c r="AF65" s="2977"/>
      <c r="AG65" s="2977"/>
      <c r="AH65" s="2977"/>
      <c r="AI65" s="2977"/>
      <c r="AJ65" s="2977"/>
      <c r="AK65" s="2977"/>
      <c r="AL65" s="2977"/>
      <c r="AM65" s="2977"/>
      <c r="AN65" s="2977"/>
      <c r="AO65" s="2977"/>
      <c r="AP65" s="2977"/>
      <c r="AQ65" s="2977"/>
      <c r="AR65" s="2977"/>
      <c r="AS65" s="2977"/>
      <c r="AT65" s="2977"/>
      <c r="AU65" s="2977"/>
      <c r="AV65" s="2977"/>
      <c r="AW65" s="2977"/>
      <c r="AX65" s="2977"/>
      <c r="AY65" s="2977"/>
      <c r="AZ65" s="2977"/>
      <c r="BA65" s="2977"/>
      <c r="BB65" s="2977"/>
      <c r="BC65" s="2977"/>
      <c r="BI65" s="1847">
        <v>19</v>
      </c>
    </row>
    <row customHeight="1" ht="14.699999999999998">
      <c r="O66" s="1229"/>
      <c r="T66" s="2141"/>
      <c r="U66" s="2141"/>
      <c r="V66" s="2141"/>
      <c r="W66" s="2141"/>
      <c r="X66" s="2141"/>
      <c r="Y66" s="2141"/>
      <c r="Z66" s="2141"/>
      <c r="AA66" s="2141"/>
      <c r="AB66" s="2141"/>
      <c r="AC66" s="2141"/>
      <c r="AD66" s="2141"/>
      <c r="AE66" s="2141"/>
      <c r="AF66" s="2141"/>
      <c r="AG66" s="2141"/>
      <c r="AH66" s="2141"/>
      <c r="AI66" s="2141"/>
      <c r="AJ66" s="2141"/>
      <c r="AK66" s="2141"/>
      <c r="AL66" s="2141"/>
      <c r="AM66" s="2141"/>
      <c r="AN66" s="2141"/>
      <c r="AO66" s="2141"/>
      <c r="AP66" s="2141"/>
      <c r="AQ66" s="2141"/>
      <c r="AR66" s="2141"/>
      <c r="AS66" s="2141"/>
      <c r="AT66" s="2141"/>
      <c r="AU66" s="2141"/>
      <c r="AV66" s="2141"/>
      <c r="AW66" s="2141"/>
      <c r="AX66" s="2141"/>
      <c r="AY66" s="2141"/>
      <c r="AZ66" s="2141"/>
      <c r="BA66" s="2141"/>
      <c r="BB66" s="2141"/>
      <c r="BC66" s="2141"/>
      <c r="BI66" s="1847">
        <v>14</v>
      </c>
    </row>
    <row customHeight="1" ht="19.95">
      <c r="O67" s="1229"/>
      <c r="S67" s="1945"/>
      <c r="T67" s="2977"/>
      <c r="U67" s="2977"/>
      <c r="V67" s="2977"/>
      <c r="W67" s="2977"/>
      <c r="X67" s="2977"/>
      <c r="Y67" s="2977"/>
      <c r="Z67" s="2977"/>
      <c r="AA67" s="2977"/>
      <c r="AB67" s="2977"/>
      <c r="AC67" s="2977"/>
      <c r="AD67" s="2977"/>
      <c r="AE67" s="2977"/>
      <c r="AF67" s="2977"/>
      <c r="AG67" s="2977"/>
      <c r="AH67" s="2977"/>
      <c r="AI67" s="2977"/>
      <c r="AJ67" s="2977"/>
      <c r="AK67" s="2977"/>
      <c r="AL67" s="2977"/>
      <c r="AM67" s="2977"/>
      <c r="AN67" s="2977"/>
      <c r="AO67" s="2977"/>
      <c r="AP67" s="2977"/>
      <c r="AQ67" s="2977"/>
      <c r="AR67" s="2977"/>
      <c r="AS67" s="2977"/>
      <c r="AT67" s="2977"/>
      <c r="AU67" s="2977"/>
      <c r="AV67" s="2977"/>
      <c r="AW67" s="2977"/>
      <c r="AX67" s="2977"/>
      <c r="AY67" s="2977"/>
      <c r="AZ67" s="2977"/>
      <c r="BA67" s="2977"/>
      <c r="BB67" s="2977"/>
      <c r="BC67" s="2977"/>
      <c r="BI67" s="1847">
        <v>19</v>
      </c>
    </row>
    <row customHeight="1" ht="14.699999999999998">
      <c r="O68" s="1229"/>
      <c r="BI68" s="1847">
        <v>14</v>
      </c>
    </row>
    <row customHeight="1" ht="14.25" hidden="1">
      <c r="A69" s="1852" t="s">
        <v>83</v>
      </c>
      <c r="B69" s="1852">
        <v>0</v>
      </c>
      <c r="C69" s="1852">
        <v>0</v>
      </c>
      <c r="D69" s="1852">
        <v>0</v>
      </c>
      <c r="E69" s="1852">
        <v>0</v>
      </c>
      <c r="F69" s="1852">
        <v>0</v>
      </c>
      <c r="G69" s="1852">
        <v>0</v>
      </c>
      <c r="H69" s="1852">
        <v>0</v>
      </c>
      <c r="I69" s="1852">
        <v>0</v>
      </c>
      <c r="J69" s="1852">
        <v>0</v>
      </c>
      <c r="K69" s="1852">
        <v>0</v>
      </c>
      <c r="L69" s="2153">
        <v>0</v>
      </c>
      <c r="M69" s="2054">
        <v>0</v>
      </c>
      <c r="N69" s="2054">
        <v>0</v>
      </c>
      <c r="O69" s="2054">
        <v>0</v>
      </c>
      <c r="P69" s="2054">
        <v>0</v>
      </c>
      <c r="Q69" s="2063">
        <v>0</v>
      </c>
      <c r="R69" s="1036">
        <v>3</v>
      </c>
      <c r="S69" s="1273">
        <v>12</v>
      </c>
      <c r="T69" s="1847">
        <v>31</v>
      </c>
      <c r="U69" s="1847">
        <v>0</v>
      </c>
      <c r="V69" s="1847">
        <v>0</v>
      </c>
      <c r="W69" s="1847">
        <v>0</v>
      </c>
      <c r="X69" s="1847">
        <v>0</v>
      </c>
      <c r="Y69" s="1847">
        <v>0</v>
      </c>
      <c r="Z69" s="1847">
        <v>0</v>
      </c>
      <c r="AA69" s="1847">
        <v>0</v>
      </c>
      <c r="AB69" s="1847">
        <v>0</v>
      </c>
      <c r="AC69" s="1847">
        <v>0</v>
      </c>
      <c r="AD69" s="1847">
        <v>3</v>
      </c>
      <c r="AE69" s="1847">
        <v>3</v>
      </c>
      <c r="AF69" s="1847">
        <v>3</v>
      </c>
      <c r="AG69" s="1847">
        <v>24</v>
      </c>
      <c r="AH69" s="1847">
        <v>3</v>
      </c>
      <c r="AI69" s="1847">
        <v>3</v>
      </c>
      <c r="AJ69" s="1847">
        <v>3</v>
      </c>
      <c r="AK69" s="1847">
        <v>24</v>
      </c>
      <c r="AL69" s="1847">
        <v>3</v>
      </c>
      <c r="AM69" s="1847">
        <v>3</v>
      </c>
      <c r="AN69" s="1847">
        <v>3</v>
      </c>
      <c r="AO69" s="1847">
        <v>18</v>
      </c>
      <c r="AP69" s="1847">
        <v>3</v>
      </c>
      <c r="AQ69" s="1847">
        <v>3</v>
      </c>
      <c r="AR69" s="1847">
        <v>3</v>
      </c>
      <c r="AS69" s="1847">
        <v>18</v>
      </c>
      <c r="AT69" s="1847">
        <v>21</v>
      </c>
      <c r="AU69" s="1847">
        <v>21</v>
      </c>
      <c r="AV69" s="1847">
        <v>21</v>
      </c>
      <c r="AW69" s="1847">
        <v>21</v>
      </c>
      <c r="AX69" s="1847">
        <v>11</v>
      </c>
      <c r="AY69" s="1847">
        <v>3</v>
      </c>
      <c r="AZ69" s="1847">
        <v>11</v>
      </c>
      <c r="BA69" s="1847">
        <v>0</v>
      </c>
      <c r="BB69" s="1847">
        <v>4</v>
      </c>
      <c r="BC69" s="1847">
        <v>115</v>
      </c>
      <c r="BD69" s="1203">
        <v>10</v>
      </c>
      <c r="BE69" s="1203">
        <v>10</v>
      </c>
      <c r="BF69" s="1203">
        <v>10</v>
      </c>
      <c r="BG69" s="1203">
        <v>10</v>
      </c>
      <c r="BH69" s="1203">
        <v>10</v>
      </c>
      <c r="BI69" s="1847">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7E6C5F-28D2-4395-5541-AD1F3F54389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4.140625" hidden="1" customWidth="1"/>
    <col min="10" max="10" style="62148" width="9.8515625" hidden="1" customWidth="1"/>
    <col min="11" max="11" style="62148" width="14.7109375" hidden="1" customWidth="1"/>
    <col min="12" max="12" style="63164" width="19.140625" hidden="1" customWidth="1"/>
    <col min="13" max="14" style="61371" width="12.28125" hidden="1" customWidth="1"/>
    <col min="15" max="15" style="61371" width="23.421875" hidden="1" customWidth="1"/>
    <col min="16" max="16" style="63184" width="3.00390625" customWidth="1"/>
    <col min="17" max="18" style="62288" width="3.00390625" customWidth="1"/>
    <col min="19" max="19" style="63156" width="12.00390625" customWidth="1"/>
    <col min="20" max="20" style="62286" width="35.00390625" customWidth="1"/>
    <col min="21" max="21" style="62286" width="0.140625" customWidth="1"/>
    <col min="22" max="24" style="62286" width="24.7109375" hidden="1" customWidth="1"/>
    <col min="25" max="25" style="62286" width="11.7109375" hidden="1" customWidth="1"/>
    <col min="26" max="26" style="62286" width="3.7109375" hidden="1" customWidth="1"/>
    <col min="27" max="27" style="62286" width="11.7109375" hidden="1" customWidth="1"/>
    <col min="28" max="28" style="62286" width="8.57421875" hidden="1" customWidth="1"/>
    <col min="29" max="29" style="62286" width="24.7109375" customWidth="1"/>
    <col min="30" max="31" style="62286" width="24.00390625" customWidth="1"/>
    <col min="32" max="32" style="62286" width="11.00390625" customWidth="1"/>
    <col min="33" max="33" style="62286" width="3.7109375" customWidth="1"/>
    <col min="34" max="34" style="62286" width="11.00390625" customWidth="1"/>
    <col min="35" max="35" style="62286" width="8.57421875" hidden="1" customWidth="1"/>
    <col min="36" max="36" style="62286" width="4.00390625" customWidth="1"/>
    <col min="37" max="37" style="62286" width="115.00390625" customWidth="1"/>
    <col min="38" max="42" style="61695" width="10.00390625" customWidth="1"/>
    <col min="43" max="43" style="62286" width="10.57421875" hidden="1"/>
  </cols>
  <sheetData>
    <row customHeight="1" ht="22.5" hidden="1">
      <c r="X1" s="1019"/>
      <c r="Y1" s="1019"/>
      <c r="AE1" s="1019"/>
      <c r="AF1" s="1019"/>
      <c r="AQ1" s="1847" t="s">
        <v>14</v>
      </c>
    </row>
    <row customHeight="1" ht="23.25" hidden="1">
      <c r="A2" s="2055"/>
      <c r="B2" s="2055"/>
      <c r="C2" s="2055"/>
      <c r="D2" s="2055"/>
      <c r="E2" s="2950">
        <v>1</v>
      </c>
      <c r="F2" s="2055"/>
      <c r="G2" s="2055"/>
      <c r="H2" s="2055"/>
      <c r="I2" s="2055"/>
      <c r="J2" s="2055"/>
      <c r="K2" s="2055"/>
      <c r="L2" s="2056"/>
      <c r="M2" s="2057"/>
      <c r="N2" s="2057"/>
      <c r="O2" s="2057"/>
      <c r="P2" s="1053"/>
      <c r="Q2" s="1052"/>
      <c r="R2" s="1047"/>
      <c r="S2" s="2185">
        <f>INDEX(PT_DIFFERENTIATION_NUM_NTAR,MATCH(A2,PT_DIFFERENTIATION_NTAR_ID,0))</f>
      </c>
      <c r="T2" s="990" t="s">
        <v>131</v>
      </c>
      <c r="U2" s="992"/>
      <c r="V2" s="2934"/>
      <c r="W2" s="2935"/>
      <c r="X2" s="2935"/>
      <c r="Y2" s="2935"/>
      <c r="Z2" s="2935"/>
      <c r="AA2" s="2935"/>
      <c r="AB2" s="2936"/>
      <c r="AC2" s="2934">
        <f>INDEX(PT_DIFFERENTIATION_NTAR,MATCH(A2,PT_DIFFERENTIATION_NTAR_ID,0))</f>
      </c>
      <c r="AD2" s="2935"/>
      <c r="AE2" s="2935"/>
      <c r="AF2" s="2935"/>
      <c r="AG2" s="2935"/>
      <c r="AH2" s="2935"/>
      <c r="AI2" s="2935"/>
      <c r="AJ2" s="2936"/>
      <c r="AK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92"/>
      <c r="AN2" s="1192" t="str">
        <f>IF(T2="","",T2)</f>
        <v>Наименование тарифа</v>
      </c>
      <c r="AO2" s="1192"/>
      <c r="AP2" s="1192"/>
      <c r="AQ2" s="1847">
        <v>0</v>
      </c>
    </row>
    <row customHeight="1" ht="23.25" hidden="1">
      <c r="A3" s="2055"/>
      <c r="B3" s="2055"/>
      <c r="C3" s="2055"/>
      <c r="D3" s="2055"/>
      <c r="E3" s="2951"/>
      <c r="F3" s="2950">
        <v>1</v>
      </c>
      <c r="G3" s="2055"/>
      <c r="H3" s="2055"/>
      <c r="I3" s="2055"/>
      <c r="J3" s="2055"/>
      <c r="K3" s="2055"/>
      <c r="L3" s="2056"/>
      <c r="M3" s="2057"/>
      <c r="N3" s="2057"/>
      <c r="O3" s="2057"/>
      <c r="P3" s="2179"/>
      <c r="Q3" s="1044"/>
      <c r="R3" s="1045"/>
      <c r="S3" s="2185">
        <f>INDEX(PT_DIFFERENTIATION_NUM_TER,MATCH(B3,PT_DIFFERENTIATION_TER_ID,0))</f>
      </c>
      <c r="T3" s="1000" t="s">
        <v>472</v>
      </c>
      <c r="U3" s="992"/>
      <c r="V3" s="2934"/>
      <c r="W3" s="2935"/>
      <c r="X3" s="2935"/>
      <c r="Y3" s="2935"/>
      <c r="Z3" s="2935"/>
      <c r="AA3" s="2935"/>
      <c r="AB3" s="2936"/>
      <c r="AC3" s="2934">
        <f>INDEX(PT_DIFFERENTIATION_TER,MATCH(B3,PT_DIFFERENTIATION_TER_ID,0))</f>
      </c>
      <c r="AD3" s="2935"/>
      <c r="AE3" s="2935"/>
      <c r="AF3" s="2935"/>
      <c r="AG3" s="2935"/>
      <c r="AH3" s="2935"/>
      <c r="AI3" s="2935"/>
      <c r="AJ3" s="2936"/>
      <c r="AK3" s="1950" t="s">
        <v>473</v>
      </c>
      <c r="AM3" s="1192"/>
      <c r="AN3" s="1192" t="str">
        <f>IF(T3="","",T3)</f>
        <v>Территория действия тарифа</v>
      </c>
      <c r="AO3" s="1192"/>
      <c r="AP3" s="1192"/>
      <c r="AQ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185">
        <f>INDEX(PT_DIFFERENTIATION_NUM_CS,MATCH(C4,PT_DIFFERENTIATION_CS_ID,0))</f>
      </c>
      <c r="T4" s="1001" t="s">
        <v>590</v>
      </c>
      <c r="U4" s="992"/>
      <c r="V4" s="2934"/>
      <c r="W4" s="2935"/>
      <c r="X4" s="2935"/>
      <c r="Y4" s="2935"/>
      <c r="Z4" s="2935"/>
      <c r="AA4" s="2935"/>
      <c r="AB4" s="2936"/>
      <c r="AC4" s="2934">
        <f>INDEX(PT_DIFFERENTIATION_CS,MATCH(C4,PT_DIFFERENTIATION_CS_ID,0))</f>
      </c>
      <c r="AD4" s="2935"/>
      <c r="AE4" s="2935"/>
      <c r="AF4" s="2935"/>
      <c r="AG4" s="2935"/>
      <c r="AH4" s="2935"/>
      <c r="AI4" s="2935"/>
      <c r="AJ4" s="2936"/>
      <c r="AK4" s="1950" t="s">
        <v>591</v>
      </c>
      <c r="AM4" s="1192"/>
      <c r="AN4" s="1192" t="str">
        <f>IF(T4="","",T4)</f>
        <v>Наименование централизованной системы водоотведения</v>
      </c>
      <c r="AO4" s="1192"/>
      <c r="AP4" s="1192"/>
      <c r="AQ4" s="1847">
        <v>0</v>
      </c>
    </row>
    <row customHeight="1" ht="23.25" hidden="1">
      <c r="A5" s="2055"/>
      <c r="B5" s="2055"/>
      <c r="C5" s="2055"/>
      <c r="D5" s="2055"/>
      <c r="E5" s="2951"/>
      <c r="F5" s="2951"/>
      <c r="G5" s="2951"/>
      <c r="H5" s="2951"/>
      <c r="I5" s="2948">
        <f>S4&amp;".1"</f>
      </c>
      <c r="J5" s="2055"/>
      <c r="K5" s="2055"/>
      <c r="L5" s="2056"/>
      <c r="P5" s="2949">
        <v>1</v>
      </c>
      <c r="Q5" s="2173"/>
      <c r="R5" s="1048"/>
      <c r="S5" s="2185">
        <f>$I5</f>
      </c>
      <c r="T5" s="977" t="s">
        <v>557</v>
      </c>
      <c r="U5" s="992"/>
      <c r="V5" s="3042"/>
      <c r="W5" s="3043"/>
      <c r="X5" s="3043"/>
      <c r="Y5" s="3043"/>
      <c r="Z5" s="3043"/>
      <c r="AA5" s="3043"/>
      <c r="AB5" s="3044"/>
      <c r="AC5" s="3045"/>
      <c r="AD5" s="3046"/>
      <c r="AE5" s="3046"/>
      <c r="AF5" s="3046"/>
      <c r="AG5" s="3046"/>
      <c r="AH5" s="3046"/>
      <c r="AI5" s="3046"/>
      <c r="AJ5" s="3047"/>
      <c r="AK5" s="1950" t="s">
        <v>558</v>
      </c>
      <c r="AM5" s="1192"/>
      <c r="AN5" s="1192" t="str">
        <f>IF(T5="","",T5)</f>
        <v>Наименование признака дифференциации</v>
      </c>
      <c r="AO5" s="1192"/>
      <c r="AP5" s="1192"/>
      <c r="AQ5" s="1847">
        <v>0</v>
      </c>
    </row>
    <row customHeight="1" ht="23.25" hidden="1">
      <c r="A6" s="2055"/>
      <c r="B6" s="2055"/>
      <c r="C6" s="2055"/>
      <c r="D6" s="2055"/>
      <c r="E6" s="2951"/>
      <c r="F6" s="2951"/>
      <c r="G6" s="2951"/>
      <c r="H6" s="2951"/>
      <c r="I6" s="2978"/>
      <c r="J6" s="2948">
        <f>I5&amp;".1"</f>
      </c>
      <c r="K6" s="2055"/>
      <c r="L6" s="2056" t="s">
        <v>481</v>
      </c>
      <c r="P6" s="2949"/>
      <c r="Q6" s="2949">
        <v>1</v>
      </c>
      <c r="R6" s="1049"/>
      <c r="S6" s="2185">
        <f>$J6</f>
      </c>
      <c r="T6" s="978" t="s">
        <v>482</v>
      </c>
      <c r="U6" s="992"/>
      <c r="V6" s="2937"/>
      <c r="W6" s="2938"/>
      <c r="X6" s="2938"/>
      <c r="Y6" s="2938"/>
      <c r="Z6" s="2938"/>
      <c r="AA6" s="2938"/>
      <c r="AB6" s="2939"/>
      <c r="AC6" s="2937"/>
      <c r="AD6" s="2938"/>
      <c r="AE6" s="2938"/>
      <c r="AF6" s="2938"/>
      <c r="AG6" s="2938"/>
      <c r="AH6" s="2938"/>
      <c r="AI6" s="2938"/>
      <c r="AJ6" s="2939"/>
      <c r="AK6" s="1999" t="s">
        <v>559</v>
      </c>
      <c r="AM6" s="1192"/>
      <c r="AN6" s="1192" t="str">
        <f>IF(T6="","",T6)</f>
        <v>Группа потребителей</v>
      </c>
      <c r="AO6" s="1192"/>
      <c r="AP6" s="1192"/>
      <c r="AQ6" s="1847">
        <v>0</v>
      </c>
    </row>
    <row customHeight="1" ht="23.25" hidden="1">
      <c r="A7" s="2055"/>
      <c r="B7" s="2055"/>
      <c r="C7" s="2055"/>
      <c r="D7" s="2055"/>
      <c r="E7" s="2951"/>
      <c r="F7" s="2951"/>
      <c r="G7" s="2951"/>
      <c r="H7" s="2951"/>
      <c r="I7" s="2978"/>
      <c r="J7" s="2978"/>
      <c r="K7" s="2948">
        <f>J6&amp;".1"</f>
      </c>
      <c r="L7" s="2056"/>
      <c r="P7" s="2949"/>
      <c r="Q7" s="2949"/>
      <c r="R7" s="1049">
        <v>1</v>
      </c>
      <c r="S7" s="2185">
        <f>$K7</f>
      </c>
      <c r="T7" s="2129"/>
      <c r="U7" s="992"/>
      <c r="V7" s="1443"/>
      <c r="W7" s="1443"/>
      <c r="X7" s="1949"/>
      <c r="Y7" s="2957"/>
      <c r="Z7" s="2799" t="s">
        <v>67</v>
      </c>
      <c r="AA7" s="2957"/>
      <c r="AB7" s="2799" t="s">
        <v>67</v>
      </c>
      <c r="AC7" s="1443"/>
      <c r="AD7" s="1443"/>
      <c r="AE7" s="1949"/>
      <c r="AF7" s="2957"/>
      <c r="AG7" s="2799" t="s">
        <v>67</v>
      </c>
      <c r="AH7" s="2979"/>
      <c r="AI7" s="2799" t="s">
        <v>67</v>
      </c>
      <c r="AJ7" s="2130"/>
      <c r="AK7"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03">
        <f>STRCHECKDATE(V8:AJ8)</f>
      </c>
      <c r="AM7" s="1192"/>
      <c r="AN7" s="1192" t="str">
        <f>IF(T7="","",T7)</f>
        <v/>
      </c>
      <c r="AO7" s="1192"/>
      <c r="AP7" s="1192"/>
      <c r="AQ7" s="1847">
        <v>0</v>
      </c>
    </row>
    <row customHeight="1" ht="14.25" hidden="1">
      <c r="A8" s="2055"/>
      <c r="B8" s="2055"/>
      <c r="C8" s="2055"/>
      <c r="D8" s="2055"/>
      <c r="E8" s="2951"/>
      <c r="F8" s="2951"/>
      <c r="G8" s="2951"/>
      <c r="H8" s="2951"/>
      <c r="I8" s="2978"/>
      <c r="J8" s="2978"/>
      <c r="K8" s="2948"/>
      <c r="L8" s="2056"/>
      <c r="P8" s="2949"/>
      <c r="Q8" s="2949"/>
      <c r="R8" s="1049"/>
      <c r="S8" s="2182"/>
      <c r="T8" s="992"/>
      <c r="U8" s="992"/>
      <c r="V8" s="1017"/>
      <c r="W8" s="1017"/>
      <c r="X8" s="1020" t="str">
        <f>Y7&amp;"-"&amp;AA7</f>
        <v>-</v>
      </c>
      <c r="Y8" s="2958"/>
      <c r="Z8" s="2799"/>
      <c r="AA8" s="2958"/>
      <c r="AB8" s="2799"/>
      <c r="AC8" s="1017"/>
      <c r="AD8" s="1017"/>
      <c r="AE8" s="1020" t="str">
        <f>AF7&amp;"-"&amp;AH7</f>
        <v>-</v>
      </c>
      <c r="AF8" s="2958"/>
      <c r="AG8" s="2799"/>
      <c r="AH8" s="2980"/>
      <c r="AI8" s="2799"/>
      <c r="AJ8" s="2131"/>
      <c r="AK8" s="3041"/>
      <c r="AM8" s="1192"/>
      <c r="AN8" s="1192" t="str">
        <f>IF(T8="","",T8)</f>
        <v/>
      </c>
      <c r="AO8" s="1192"/>
      <c r="AP8" s="1192"/>
      <c r="AQ8" s="1847">
        <v>0</v>
      </c>
    </row>
    <row customHeight="1" ht="21" hidden="1">
      <c r="A9" s="2055"/>
      <c r="B9" s="2055"/>
      <c r="C9" s="2055"/>
      <c r="D9" s="2055"/>
      <c r="E9" s="2951"/>
      <c r="F9" s="2951"/>
      <c r="G9" s="2951"/>
      <c r="H9" s="2951"/>
      <c r="I9" s="2978"/>
      <c r="J9" s="2948"/>
      <c r="K9" s="2055"/>
      <c r="L9" s="2056"/>
      <c r="P9" s="2949"/>
      <c r="Q9" s="2949"/>
      <c r="R9" s="1048"/>
      <c r="S9" s="1970"/>
      <c r="T9" s="979" t="s">
        <v>560</v>
      </c>
      <c r="U9" s="1059"/>
      <c r="V9" s="1059"/>
      <c r="W9" s="1059"/>
      <c r="X9" s="1059"/>
      <c r="Y9" s="1059"/>
      <c r="Z9" s="1059"/>
      <c r="AA9" s="1059"/>
      <c r="AB9" s="1059"/>
      <c r="AC9" s="1059"/>
      <c r="AD9" s="1059"/>
      <c r="AE9" s="1059"/>
      <c r="AF9" s="1059"/>
      <c r="AG9" s="1059"/>
      <c r="AH9" s="1059"/>
      <c r="AI9" s="1059"/>
      <c r="AJ9" s="1059"/>
      <c r="AK9" s="1950" t="s">
        <v>561</v>
      </c>
      <c r="AM9" s="1192"/>
      <c r="AN9" s="1192" t="str">
        <f>IF(T9="","",T9)</f>
        <v>Добавить значение признака дифференциации</v>
      </c>
      <c r="AO9" s="1192"/>
      <c r="AP9" s="1192"/>
      <c r="AQ9" s="1847">
        <v>0</v>
      </c>
    </row>
    <row customHeight="1" ht="21" hidden="1">
      <c r="A10" s="2055"/>
      <c r="B10" s="2055"/>
      <c r="C10" s="2055"/>
      <c r="D10" s="2055"/>
      <c r="E10" s="2951"/>
      <c r="F10" s="2951"/>
      <c r="G10" s="2951"/>
      <c r="H10" s="2951"/>
      <c r="I10" s="2948"/>
      <c r="J10" s="2055"/>
      <c r="K10" s="2055"/>
      <c r="L10" s="2056"/>
      <c r="P10" s="2949"/>
      <c r="Q10" s="2173"/>
      <c r="R10" s="1048"/>
      <c r="S10" s="1970"/>
      <c r="T10" s="1057" t="s">
        <v>487</v>
      </c>
      <c r="U10" s="1059"/>
      <c r="V10" s="1059"/>
      <c r="W10" s="1059"/>
      <c r="X10" s="1059"/>
      <c r="Y10" s="1059"/>
      <c r="Z10" s="1059"/>
      <c r="AA10" s="1059"/>
      <c r="AB10" s="1058"/>
      <c r="AC10" s="1059"/>
      <c r="AD10" s="1059"/>
      <c r="AE10" s="1059"/>
      <c r="AF10" s="1059"/>
      <c r="AG10" s="1059"/>
      <c r="AH10" s="1059"/>
      <c r="AI10" s="1058"/>
      <c r="AJ10" s="1059"/>
      <c r="AK10" s="2132"/>
      <c r="AM10" s="1192"/>
      <c r="AN10" s="1192" t="str">
        <f>IF(T10="","",T10)</f>
        <v>Добавить группу потребителей</v>
      </c>
      <c r="AO10" s="1192"/>
      <c r="AP10" s="1192"/>
      <c r="AQ10" s="1847">
        <v>0</v>
      </c>
    </row>
    <row customHeight="1" ht="21" hidden="1">
      <c r="A11" s="2055"/>
      <c r="B11" s="2055"/>
      <c r="C11" s="2055"/>
      <c r="D11" s="2055"/>
      <c r="E11" s="2951"/>
      <c r="F11" s="2951"/>
      <c r="G11" s="2951"/>
      <c r="H11" s="2950"/>
      <c r="I11" s="2055"/>
      <c r="J11" s="2055"/>
      <c r="K11" s="2055"/>
      <c r="L11" s="2056"/>
      <c r="M11" s="2057"/>
      <c r="N11" s="2057"/>
      <c r="O11" s="1229"/>
      <c r="P11" s="1052"/>
      <c r="Q11" s="1067"/>
      <c r="R11" s="1047"/>
      <c r="S11" s="1970"/>
      <c r="T11" s="1064" t="s">
        <v>562</v>
      </c>
      <c r="U11" s="1059"/>
      <c r="V11" s="1059"/>
      <c r="W11" s="1059"/>
      <c r="X11" s="1059"/>
      <c r="Y11" s="1059"/>
      <c r="Z11" s="1059"/>
      <c r="AA11" s="1059"/>
      <c r="AB11" s="1058"/>
      <c r="AC11" s="1059"/>
      <c r="AD11" s="1059"/>
      <c r="AE11" s="1059"/>
      <c r="AF11" s="1059"/>
      <c r="AG11" s="1059"/>
      <c r="AH11" s="1059"/>
      <c r="AI11" s="1058"/>
      <c r="AJ11" s="1059"/>
      <c r="AK11" s="995"/>
      <c r="AM11" s="1192"/>
      <c r="AN11" s="1192" t="str">
        <f>IF(T11="","",T11)</f>
        <v>Добавить наименование признака дифференциации</v>
      </c>
      <c r="AO11" s="1192"/>
      <c r="AP11" s="1192"/>
      <c r="AQ11" s="1847">
        <v>0</v>
      </c>
    </row>
    <row s="61695" customFormat="1" customHeight="1" ht="14.25" hidden="1">
      <c r="A12" s="2035"/>
      <c r="B12" s="2035"/>
      <c r="C12" s="2006"/>
      <c r="D12" s="2006"/>
      <c r="E12" s="2951"/>
      <c r="F12" s="2950"/>
      <c r="G12" s="2006"/>
      <c r="H12" s="2006"/>
      <c r="I12" s="2006"/>
      <c r="J12" s="2006"/>
      <c r="K12" s="2006"/>
      <c r="L12" s="2186"/>
      <c r="M12" s="2013"/>
      <c r="N12" s="2013"/>
      <c r="P12" s="2008"/>
      <c r="Q12" s="2009"/>
      <c r="R12" s="2008"/>
      <c r="S12" s="2014"/>
      <c r="T12" s="2017" t="s">
        <v>172</v>
      </c>
      <c r="U12" s="2016"/>
      <c r="V12" s="2016"/>
      <c r="W12" s="2016"/>
      <c r="X12" s="2016"/>
      <c r="Y12" s="2016"/>
      <c r="Z12" s="2016"/>
      <c r="AA12" s="2016"/>
      <c r="AB12" s="2016"/>
      <c r="AC12" s="2016"/>
      <c r="AD12" s="2016"/>
      <c r="AE12" s="2016"/>
      <c r="AF12" s="2016"/>
      <c r="AG12" s="2016"/>
      <c r="AH12" s="2016"/>
      <c r="AI12" s="2016"/>
      <c r="AJ12" s="2016"/>
      <c r="AK12" s="2016"/>
      <c r="AM12" s="1481"/>
      <c r="AN12" s="1481" t="str">
        <f>IF(T12="","",T12)</f>
        <v>Добавить централизованную систему для дифференциации</v>
      </c>
      <c r="AO12" s="1481"/>
      <c r="AP12" s="1481"/>
      <c r="AQ12" s="1210">
        <v>0</v>
      </c>
    </row>
    <row s="61695" customFormat="1" customHeight="1" ht="14.25" hidden="1">
      <c r="A13" s="2035"/>
      <c r="B13" s="2035"/>
      <c r="C13" s="2035"/>
      <c r="D13" s="2035"/>
      <c r="E13" s="2950"/>
      <c r="F13" s="2035"/>
      <c r="G13" s="2035"/>
      <c r="H13" s="2035"/>
      <c r="I13" s="2035"/>
      <c r="J13" s="2035"/>
      <c r="K13" s="2035"/>
      <c r="L13" s="2038"/>
      <c r="M13" s="2013"/>
      <c r="N13" s="2013"/>
      <c r="O13" s="1210"/>
      <c r="P13" s="1072"/>
      <c r="Q13" s="2036"/>
      <c r="R13" s="1072"/>
      <c r="S13" s="2014"/>
      <c r="T13" s="2017" t="s">
        <v>173</v>
      </c>
      <c r="U13" s="2016"/>
      <c r="V13" s="2016"/>
      <c r="W13" s="2016"/>
      <c r="X13" s="2016"/>
      <c r="Y13" s="2016"/>
      <c r="Z13" s="2016"/>
      <c r="AA13" s="2016"/>
      <c r="AB13" s="2016"/>
      <c r="AC13" s="2016"/>
      <c r="AD13" s="2016"/>
      <c r="AE13" s="2016"/>
      <c r="AF13" s="2016"/>
      <c r="AG13" s="2016"/>
      <c r="AH13" s="2016"/>
      <c r="AI13" s="2016"/>
      <c r="AJ13" s="2016"/>
      <c r="AK13" s="2016"/>
      <c r="AM13" s="1192"/>
      <c r="AN13" s="1192" t="str">
        <f>IF(T13="","",T13)</f>
        <v>Добавить территорию для дифференциации</v>
      </c>
      <c r="AO13" s="1192"/>
      <c r="AP13" s="1192"/>
      <c r="AQ13" s="1203">
        <v>0</v>
      </c>
    </row>
    <row customHeight="1" ht="14.25" hidden="1">
      <c r="AB14" s="1019"/>
      <c r="AI14" s="1019"/>
      <c r="AQ14" s="1847">
        <v>0</v>
      </c>
    </row>
    <row customHeight="1" ht="14.25" hidden="1">
      <c r="AC15" s="2052"/>
      <c r="AD15" s="2052"/>
      <c r="AE15" s="2053"/>
      <c r="AF15" s="2959"/>
      <c r="AG15" s="2960" t="s">
        <v>67</v>
      </c>
      <c r="AH15" s="2959"/>
      <c r="AI15" s="2960" t="s">
        <v>67</v>
      </c>
      <c r="AQ15" s="1847">
        <v>0</v>
      </c>
    </row>
    <row customHeight="1" ht="14.25" hidden="1">
      <c r="AC16" s="2052"/>
      <c r="AD16" s="2052"/>
      <c r="AE16" s="1020" t="str">
        <f>AF15&amp;"-"&amp;AH15</f>
        <v>-</v>
      </c>
      <c r="AF16" s="2960"/>
      <c r="AG16" s="2960"/>
      <c r="AH16" s="2960"/>
      <c r="AI16" s="2960"/>
      <c r="AQ16" s="1847">
        <v>0</v>
      </c>
    </row>
    <row customHeight="1" ht="14.25" hidden="1">
      <c r="AI17" s="1019"/>
      <c r="AQ17" s="1847">
        <v>0</v>
      </c>
    </row>
    <row s="62148" customFormat="1" customHeight="1" ht="22.5" hidden="1">
      <c r="L18" s="2170"/>
      <c r="M18" s="2054"/>
      <c r="N18" s="2054"/>
      <c r="O18" s="2059" t="s">
        <v>489</v>
      </c>
      <c r="P18" s="2054"/>
      <c r="Q18" s="2063"/>
      <c r="R18" s="2063"/>
      <c r="S18" s="1421"/>
      <c r="Y18" s="2059"/>
      <c r="AA18" s="2059"/>
      <c r="AB18" s="2058"/>
      <c r="AF18" s="2059"/>
      <c r="AH18" s="2059"/>
      <c r="AI18" s="2058"/>
      <c r="AL18" s="1203"/>
      <c r="AM18" s="1203"/>
      <c r="AN18" s="1203"/>
      <c r="AO18" s="1203"/>
      <c r="AP18" s="1203"/>
      <c r="AQ18" s="1852">
        <v>0</v>
      </c>
    </row>
    <row s="62148" customFormat="1" customHeight="1" ht="14.25" hidden="1">
      <c r="L19" s="2170"/>
      <c r="M19" s="2054"/>
      <c r="N19" s="2054"/>
      <c r="O19" s="2054"/>
      <c r="P19" s="2054"/>
      <c r="Q19" s="2063"/>
      <c r="R19" s="2063"/>
      <c r="S19" s="1421"/>
      <c r="AB19" s="2058"/>
      <c r="AI19" s="2058"/>
      <c r="AL19" s="1203"/>
      <c r="AM19" s="1203"/>
      <c r="AN19" s="1203"/>
      <c r="AO19" s="1203"/>
      <c r="AP19" s="1203"/>
      <c r="AQ19" s="1852">
        <v>0</v>
      </c>
    </row>
    <row s="62148" customFormat="1" customHeight="1" ht="12" hidden="1">
      <c r="L20" s="2170"/>
      <c r="M20" s="2054"/>
      <c r="N20" s="2054"/>
      <c r="O20" s="2056" t="s">
        <v>490</v>
      </c>
      <c r="P20" s="2054"/>
      <c r="Q20" s="2134"/>
      <c r="R20" s="2134"/>
      <c r="S20" s="1421"/>
      <c r="T20" s="1852" t="s">
        <v>491</v>
      </c>
      <c r="Z20" s="878" t="s">
        <v>492</v>
      </c>
      <c r="AB20" s="878" t="s">
        <v>493</v>
      </c>
      <c r="AC20" s="1852" t="s">
        <v>491</v>
      </c>
      <c r="AG20" s="878" t="s">
        <v>494</v>
      </c>
      <c r="AI20" s="878" t="s">
        <v>493</v>
      </c>
      <c r="AQ20" s="1852">
        <v>0</v>
      </c>
    </row>
    <row customHeight="1" ht="14.25" hidden="1">
      <c r="O21" s="2056"/>
      <c r="AQ21" s="1847">
        <v>0</v>
      </c>
    </row>
    <row customHeight="1" ht="14.25" hidden="1">
      <c r="O22" s="2056"/>
      <c r="AQ22" s="1847">
        <v>0</v>
      </c>
    </row>
    <row customHeight="1" ht="14.699999999999998">
      <c r="Q23" s="1068"/>
      <c r="R23" s="1068"/>
      <c r="S23" s="1967"/>
      <c r="T23" s="1055"/>
      <c r="U23" s="1055"/>
      <c r="V23" s="1201"/>
      <c r="W23" s="1201"/>
      <c r="X23" s="1201"/>
      <c r="Y23" s="1201"/>
      <c r="Z23" s="1201"/>
      <c r="AA23" s="1201"/>
      <c r="AB23" s="1201"/>
      <c r="AC23" s="1201"/>
      <c r="AD23" s="1201"/>
      <c r="AE23" s="1201"/>
      <c r="AF23" s="1201"/>
      <c r="AG23" s="1201"/>
      <c r="AH23" s="1201"/>
      <c r="AI23" s="1201"/>
      <c r="AQ23" s="1847">
        <v>14</v>
      </c>
    </row>
    <row customHeight="1" ht="14.699999999999998">
      <c r="Q24" s="1068"/>
      <c r="R24" s="1068"/>
      <c r="S24" s="294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40"/>
      <c r="U24" s="2940"/>
      <c r="V24" s="2940"/>
      <c r="W24" s="2940"/>
      <c r="X24" s="2940"/>
      <c r="Y24" s="2940"/>
      <c r="Z24" s="2940"/>
      <c r="AA24" s="2940"/>
      <c r="AB24" s="2940"/>
      <c r="AC24" s="2940"/>
      <c r="AD24" s="2940"/>
      <c r="AE24" s="2940"/>
      <c r="AF24" s="2940"/>
      <c r="AG24" s="2940"/>
      <c r="AH24" s="2940"/>
      <c r="AI24" s="1935"/>
      <c r="AQ24" s="1847">
        <v>14</v>
      </c>
    </row>
    <row customHeight="1" ht="14.699999999999998">
      <c r="Q25" s="1068"/>
      <c r="R25" s="1068"/>
      <c r="S25" s="2941" t="str">
        <f>IF(org=0,"Не определено",org)</f>
        <v>АО "ДГК"</v>
      </c>
      <c r="T25" s="2941"/>
      <c r="U25" s="2941"/>
      <c r="V25" s="2941"/>
      <c r="W25" s="2941"/>
      <c r="X25" s="2941"/>
      <c r="Y25" s="2941"/>
      <c r="Z25" s="2941"/>
      <c r="AA25" s="2941"/>
      <c r="AB25" s="2941"/>
      <c r="AC25" s="2941"/>
      <c r="AD25" s="2941"/>
      <c r="AE25" s="2941"/>
      <c r="AF25" s="2941"/>
      <c r="AG25" s="2941"/>
      <c r="AH25" s="2941"/>
      <c r="AI25" s="1935"/>
      <c r="AQ25" s="1847">
        <v>14</v>
      </c>
    </row>
    <row customHeight="1" ht="14.25" hidden="1">
      <c r="Q26" s="1068"/>
      <c r="R26" s="1068"/>
      <c r="S26" s="1967"/>
      <c r="T26" s="1055"/>
      <c r="U26" s="1055"/>
      <c r="V26" s="1014"/>
      <c r="W26" s="1014"/>
      <c r="X26" s="1014"/>
      <c r="Y26" s="1014"/>
      <c r="Z26" s="1014"/>
      <c r="AA26" s="1014"/>
      <c r="AB26" s="1014"/>
      <c r="AC26" s="1014"/>
      <c r="AD26" s="1014"/>
      <c r="AE26" s="1014"/>
      <c r="AF26" s="1014"/>
      <c r="AG26" s="1014"/>
      <c r="AH26" s="1014"/>
      <c r="AI26" s="1014"/>
      <c r="AJ26" s="1201"/>
      <c r="AQ26" s="1847">
        <v>0</v>
      </c>
    </row>
    <row s="63055" customFormat="1" customHeight="1" ht="25.5" hidden="1">
      <c r="A27" s="2060"/>
      <c r="B27" s="2060"/>
      <c r="C27" s="2060"/>
      <c r="D27" s="2060"/>
      <c r="E27" s="2060"/>
      <c r="F27" s="2060"/>
      <c r="G27" s="2060"/>
      <c r="H27" s="2060"/>
      <c r="I27" s="2060"/>
      <c r="J27" s="2060"/>
      <c r="K27" s="2060"/>
      <c r="L27" s="2061"/>
      <c r="M27" s="2060"/>
      <c r="N27" s="2060"/>
      <c r="O27" s="2060"/>
      <c r="S27" s="2942" t="s">
        <v>42</v>
      </c>
      <c r="T27" s="2942"/>
      <c r="U27" s="2064"/>
      <c r="V27" s="2943" t="str">
        <f>IF(TITLE_NAME_OR_PR_CHANGE="",IF(TITLE_NAME_OR_PR="","",TITLE_NAME_OR_PR),TITLE_NAME_OR_PR_CHANGE)</f>
        <v/>
      </c>
      <c r="W27" s="2943"/>
      <c r="X27" s="2943"/>
      <c r="Y27" s="2943"/>
      <c r="Z27" s="2943"/>
      <c r="AA27" s="2943"/>
      <c r="AB27" s="1018"/>
      <c r="AC27" s="2943" t="str">
        <f>IF(TITLE_NAME_OR_PR_CHANGE="",IF(TITLE_NAME_OR_PR="","",TITLE_NAME_OR_PR),TITLE_NAME_OR_PR_CHANGE)</f>
        <v/>
      </c>
      <c r="AD27" s="2943"/>
      <c r="AE27" s="2943"/>
      <c r="AF27" s="2943"/>
      <c r="AG27" s="2943"/>
      <c r="AH27" s="2943"/>
      <c r="AI27" s="1018"/>
      <c r="AJ27" s="1018"/>
      <c r="AK27" s="972"/>
      <c r="AL27" s="1060"/>
      <c r="AM27" s="1060"/>
      <c r="AN27" s="1060"/>
      <c r="AO27" s="1060"/>
      <c r="AP27" s="1060"/>
      <c r="AQ27" s="1110">
        <v>0</v>
      </c>
    </row>
    <row s="63055" customFormat="1" customHeight="1" ht="18.75" hidden="1">
      <c r="A28" s="2060"/>
      <c r="B28" s="2060"/>
      <c r="C28" s="2060"/>
      <c r="D28" s="2060"/>
      <c r="E28" s="2060"/>
      <c r="F28" s="2060"/>
      <c r="G28" s="2060"/>
      <c r="H28" s="2060"/>
      <c r="I28" s="2060"/>
      <c r="J28" s="2060"/>
      <c r="K28" s="2060"/>
      <c r="L28" s="2061"/>
      <c r="M28" s="2060"/>
      <c r="N28" s="2060"/>
      <c r="O28" s="2060"/>
      <c r="S28" s="2942" t="s">
        <v>495</v>
      </c>
      <c r="T28" s="2942"/>
      <c r="U28" s="2064"/>
      <c r="V28" s="2956" t="str">
        <f>IF(TITLE_DATE_PR_CHANGE="",IF(TITLE_DATE_PR="","",TITLE_DATE_PR),TITLE_DATE_PR_CHANGE)</f>
        <v>45981</v>
      </c>
      <c r="W28" s="2956"/>
      <c r="X28" s="2956"/>
      <c r="Y28" s="2956"/>
      <c r="Z28" s="2956"/>
      <c r="AA28" s="2956"/>
      <c r="AB28" s="1018"/>
      <c r="AC28" s="2956" t="str">
        <f>IF(TITLE_DATE_PR_CHANGE="",IF(TITLE_DATE_PR="","",TITLE_DATE_PR),TITLE_DATE_PR_CHANGE)</f>
        <v>45981</v>
      </c>
      <c r="AD28" s="2956"/>
      <c r="AE28" s="2956"/>
      <c r="AF28" s="2956"/>
      <c r="AG28" s="2956"/>
      <c r="AH28" s="2956"/>
      <c r="AI28" s="1018"/>
      <c r="AJ28" s="1018"/>
      <c r="AK28" s="972"/>
      <c r="AL28" s="1060"/>
      <c r="AM28" s="1060"/>
      <c r="AN28" s="1060"/>
      <c r="AO28" s="1060"/>
      <c r="AP28" s="1060"/>
      <c r="AQ28" s="1110">
        <v>0</v>
      </c>
    </row>
    <row s="63055" customFormat="1" customHeight="1" ht="18.75" hidden="1">
      <c r="A29" s="2060"/>
      <c r="B29" s="2060"/>
      <c r="C29" s="2060"/>
      <c r="D29" s="2060"/>
      <c r="E29" s="2060"/>
      <c r="F29" s="2060"/>
      <c r="G29" s="2060"/>
      <c r="H29" s="2060"/>
      <c r="I29" s="2060"/>
      <c r="J29" s="2060"/>
      <c r="K29" s="2060"/>
      <c r="L29" s="2061"/>
      <c r="M29" s="2060"/>
      <c r="N29" s="2060"/>
      <c r="O29" s="2060"/>
      <c r="S29" s="2942" t="s">
        <v>496</v>
      </c>
      <c r="T29" s="2942"/>
      <c r="U29" s="2064"/>
      <c r="V29" s="2943" t="str">
        <f>IF(TITLE_NUMBER_PR_CHANGE="",IF(TITLE_NUMBER_PR="","",TITLE_NUMBER_PR),TITLE_NUMBER_PR_CHANGE)</f>
        <v>Исх-260/1781</v>
      </c>
      <c r="W29" s="2943"/>
      <c r="X29" s="2943"/>
      <c r="Y29" s="2943"/>
      <c r="Z29" s="2943"/>
      <c r="AA29" s="2943"/>
      <c r="AB29" s="1018"/>
      <c r="AC29" s="2943" t="str">
        <f>IF(TITLE_NUMBER_PR_CHANGE="",IF(TITLE_NUMBER_PR="","",TITLE_NUMBER_PR),TITLE_NUMBER_PR_CHANGE)</f>
        <v>Исх-260/1781</v>
      </c>
      <c r="AD29" s="2943"/>
      <c r="AE29" s="2943"/>
      <c r="AF29" s="2943"/>
      <c r="AG29" s="2943"/>
      <c r="AH29" s="2943"/>
      <c r="AI29" s="1018"/>
      <c r="AJ29" s="1018"/>
      <c r="AK29" s="972"/>
      <c r="AL29" s="1060"/>
      <c r="AM29" s="1060"/>
      <c r="AN29" s="1060"/>
      <c r="AO29" s="1060"/>
      <c r="AP29" s="1060"/>
      <c r="AQ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43</v>
      </c>
      <c r="T30" s="2942"/>
      <c r="U30" s="2064"/>
      <c r="V30" s="2943" t="str">
        <f>IF(TITLE_IST_PUB_CHANGE="",IF(TITLE_IST_PUB="","",TITLE_IST_PUB),TITLE_IST_PUB_CHANGE)</f>
        <v/>
      </c>
      <c r="W30" s="2943"/>
      <c r="X30" s="2943"/>
      <c r="Y30" s="2943"/>
      <c r="Z30" s="2943"/>
      <c r="AA30" s="2943"/>
      <c r="AB30" s="1018"/>
      <c r="AC30" s="2943" t="str">
        <f>IF(TITLE_IST_PUB_CHANGE="",IF(TITLE_IST_PUB="","",TITLE_IST_PUB),TITLE_IST_PUB_CHANGE)</f>
        <v/>
      </c>
      <c r="AD30" s="2943"/>
      <c r="AE30" s="2943"/>
      <c r="AF30" s="2943"/>
      <c r="AG30" s="2943"/>
      <c r="AH30" s="2943"/>
      <c r="AI30" s="1018"/>
      <c r="AJ30" s="1018"/>
      <c r="AK30" s="972"/>
      <c r="AL30" s="1060"/>
      <c r="AM30" s="1060"/>
      <c r="AN30" s="1060"/>
      <c r="AO30" s="1060"/>
      <c r="AP30" s="1060"/>
      <c r="AQ30" s="1110">
        <v>0</v>
      </c>
    </row>
    <row customHeight="1" ht="14.25">
      <c r="Q31" s="1068"/>
      <c r="R31" s="1068"/>
      <c r="S31" s="1967"/>
      <c r="T31" s="1055"/>
      <c r="U31" s="1055"/>
      <c r="V31" s="1014"/>
      <c r="W31" s="1014"/>
      <c r="X31" s="1014"/>
      <c r="Y31" s="1014"/>
      <c r="Z31" s="1014"/>
      <c r="AA31" s="1014"/>
      <c r="AB31" s="1014"/>
      <c r="AC31" s="1014"/>
      <c r="AD31" s="1014"/>
      <c r="AE31" s="1014"/>
      <c r="AF31" s="1014"/>
      <c r="AG31" s="1014"/>
      <c r="AH31" s="1014"/>
      <c r="AI31" s="1014"/>
      <c r="AJ31" s="1201"/>
      <c r="AQ31" s="1847">
        <v>0</v>
      </c>
    </row>
    <row s="63055" customFormat="1" customHeight="1" ht="18.75">
      <c r="A32" s="2060"/>
      <c r="B32" s="2060"/>
      <c r="C32" s="2060"/>
      <c r="D32" s="2060"/>
      <c r="E32" s="2060"/>
      <c r="F32" s="2060"/>
      <c r="G32" s="2060"/>
      <c r="H32" s="2060"/>
      <c r="I32" s="2060"/>
      <c r="J32" s="2060"/>
      <c r="K32" s="2060"/>
      <c r="L32" s="2061"/>
      <c r="M32" s="2060"/>
      <c r="N32" s="2060"/>
      <c r="O32" s="2060"/>
      <c r="S32" s="2942" t="s">
        <v>497</v>
      </c>
      <c r="T32" s="2942"/>
      <c r="U32" s="2064"/>
      <c r="V32" s="2956" t="str">
        <f>IF(TITLE_DATE_PR_CHANGE="",IF(TITLE_DATE_PR="","",TITLE_DATE_PR),TITLE_DATE_PR_CHANGE)</f>
        <v>45981</v>
      </c>
      <c r="W32" s="2956"/>
      <c r="X32" s="2956"/>
      <c r="Y32" s="2956"/>
      <c r="Z32" s="2956"/>
      <c r="AA32" s="2956"/>
      <c r="AB32" s="1018"/>
      <c r="AC32" s="2956" t="str">
        <f>IF(TITLE_DATE_PR_CHANGE="",IF(TITLE_DATE_PR="","",TITLE_DATE_PR),TITLE_DATE_PR_CHANGE)</f>
        <v>45981</v>
      </c>
      <c r="AD32" s="2956"/>
      <c r="AE32" s="2956"/>
      <c r="AF32" s="2956"/>
      <c r="AG32" s="2956"/>
      <c r="AH32" s="2956"/>
      <c r="AI32" s="1018"/>
      <c r="AJ32" s="1018"/>
      <c r="AK32" s="972"/>
      <c r="AL32" s="1060"/>
      <c r="AM32" s="1060"/>
      <c r="AN32" s="1060"/>
      <c r="AO32" s="1060"/>
      <c r="AP32" s="1060"/>
      <c r="AQ32" s="1110">
        <v>0</v>
      </c>
    </row>
    <row s="63055" customFormat="1" customHeight="1" ht="18.75">
      <c r="A33" s="2060"/>
      <c r="B33" s="2060"/>
      <c r="C33" s="2060"/>
      <c r="D33" s="2060"/>
      <c r="E33" s="2060"/>
      <c r="F33" s="2060"/>
      <c r="G33" s="2060"/>
      <c r="H33" s="2060"/>
      <c r="I33" s="2060"/>
      <c r="J33" s="2060"/>
      <c r="K33" s="2060"/>
      <c r="L33" s="2061"/>
      <c r="M33" s="2060"/>
      <c r="N33" s="2060"/>
      <c r="O33" s="2060"/>
      <c r="S33" s="2942" t="s">
        <v>498</v>
      </c>
      <c r="T33" s="2942"/>
      <c r="U33" s="2064"/>
      <c r="V33" s="2943" t="str">
        <f>IF(TITLE_NUMBER_PR_CHANGE="",IF(TITLE_NUMBER_PR="","",TITLE_NUMBER_PR),TITLE_NUMBER_PR_CHANGE)</f>
        <v>Исх-260/1781</v>
      </c>
      <c r="W33" s="2943"/>
      <c r="X33" s="2943"/>
      <c r="Y33" s="2943"/>
      <c r="Z33" s="2943"/>
      <c r="AA33" s="2943"/>
      <c r="AB33" s="1018"/>
      <c r="AC33" s="2943" t="str">
        <f>IF(TITLE_NUMBER_PR_CHANGE="",IF(TITLE_NUMBER_PR="","",TITLE_NUMBER_PR),TITLE_NUMBER_PR_CHANGE)</f>
        <v>Исх-260/1781</v>
      </c>
      <c r="AD33" s="2943"/>
      <c r="AE33" s="2943"/>
      <c r="AF33" s="2943"/>
      <c r="AG33" s="2943"/>
      <c r="AH33" s="2943"/>
      <c r="AI33" s="1018"/>
      <c r="AJ33" s="1018"/>
      <c r="AK33" s="972"/>
      <c r="AL33" s="1060"/>
      <c r="AM33" s="1060"/>
      <c r="AN33" s="1060"/>
      <c r="AO33" s="1060"/>
      <c r="AP33" s="1060"/>
      <c r="AQ33" s="1110">
        <v>0</v>
      </c>
    </row>
    <row s="63055" customFormat="1" customHeight="1" ht="1.05">
      <c r="A34" s="2060"/>
      <c r="B34" s="2060"/>
      <c r="C34" s="2060"/>
      <c r="D34" s="2060"/>
      <c r="E34" s="2060"/>
      <c r="F34" s="2060"/>
      <c r="G34" s="2060"/>
      <c r="H34" s="2060"/>
      <c r="I34" s="2060"/>
      <c r="J34" s="2060"/>
      <c r="K34" s="2060"/>
      <c r="L34" s="2061"/>
      <c r="M34" s="2060"/>
      <c r="N34" s="2060"/>
      <c r="O34" s="2060"/>
      <c r="S34" s="1015"/>
      <c r="T34" s="1015"/>
      <c r="U34" s="2180"/>
      <c r="V34" s="1018"/>
      <c r="W34" s="1018"/>
      <c r="X34" s="1018"/>
      <c r="Y34" s="1018"/>
      <c r="Z34" s="1018"/>
      <c r="AA34" s="1018"/>
      <c r="AB34" s="970" t="s">
        <v>499</v>
      </c>
      <c r="AC34" s="1018"/>
      <c r="AD34" s="1018"/>
      <c r="AE34" s="1018"/>
      <c r="AF34" s="1018"/>
      <c r="AG34" s="1018"/>
      <c r="AH34" s="1018"/>
      <c r="AI34" s="970" t="s">
        <v>499</v>
      </c>
      <c r="AL34" s="1060"/>
      <c r="AM34" s="1060"/>
      <c r="AN34" s="1060"/>
      <c r="AO34" s="1060"/>
      <c r="AP34" s="1060"/>
      <c r="AQ34" s="1110">
        <v>1</v>
      </c>
    </row>
    <row customHeight="1" ht="14.699999999999998">
      <c r="Q35" s="1068"/>
      <c r="R35" s="1068"/>
      <c r="S35" s="1967"/>
      <c r="T35" s="1055"/>
      <c r="U35" s="1936"/>
      <c r="V35" s="2944"/>
      <c r="W35" s="2944"/>
      <c r="X35" s="2944"/>
      <c r="Y35" s="2944"/>
      <c r="Z35" s="2944"/>
      <c r="AA35" s="2944"/>
      <c r="AB35" s="2944"/>
      <c r="AC35" s="2944"/>
      <c r="AD35" s="2944"/>
      <c r="AE35" s="2944"/>
      <c r="AF35" s="2944"/>
      <c r="AG35" s="2944"/>
      <c r="AH35" s="2944"/>
      <c r="AI35" s="2944"/>
      <c r="AQ35" s="1847">
        <v>14</v>
      </c>
    </row>
    <row customHeight="1" ht="14.699999999999998">
      <c r="Q36" s="1068"/>
      <c r="R36" s="1068"/>
      <c r="S36" s="2819" t="s">
        <v>375</v>
      </c>
      <c r="T36" s="2819"/>
      <c r="U36" s="2819"/>
      <c r="V36" s="2819"/>
      <c r="W36" s="2819"/>
      <c r="X36" s="2819"/>
      <c r="Y36" s="2819"/>
      <c r="Z36" s="2819"/>
      <c r="AA36" s="2819"/>
      <c r="AB36" s="2819"/>
      <c r="AC36" s="2819"/>
      <c r="AD36" s="2819"/>
      <c r="AE36" s="2819"/>
      <c r="AF36" s="2819"/>
      <c r="AG36" s="2819"/>
      <c r="AH36" s="2819"/>
      <c r="AI36" s="2819"/>
      <c r="AJ36" s="2819"/>
      <c r="AK36" s="2819" t="s">
        <v>376</v>
      </c>
      <c r="AQ36" s="1847">
        <v>14</v>
      </c>
    </row>
    <row customHeight="1" ht="14.699999999999998">
      <c r="Q37" s="1068"/>
      <c r="R37" s="1068"/>
      <c r="S37" s="2965" t="s">
        <v>89</v>
      </c>
      <c r="T37" s="2901" t="s">
        <v>500</v>
      </c>
      <c r="U37" s="993"/>
      <c r="V37" s="2966" t="s">
        <v>501</v>
      </c>
      <c r="W37" s="2967"/>
      <c r="X37" s="2967"/>
      <c r="Y37" s="2967"/>
      <c r="Z37" s="2967"/>
      <c r="AA37" s="2968"/>
      <c r="AB37" s="2969" t="s">
        <v>502</v>
      </c>
      <c r="AC37" s="2966" t="s">
        <v>501</v>
      </c>
      <c r="AD37" s="2967"/>
      <c r="AE37" s="2967"/>
      <c r="AF37" s="2967"/>
      <c r="AG37" s="2967"/>
      <c r="AH37" s="2968"/>
      <c r="AI37" s="2969" t="s">
        <v>503</v>
      </c>
      <c r="AJ37" s="2972" t="s">
        <v>504</v>
      </c>
      <c r="AK37" s="2819"/>
      <c r="AQ37" s="1847">
        <v>14</v>
      </c>
    </row>
    <row customHeight="1" ht="35.699999999999996">
      <c r="Q38" s="1068"/>
      <c r="R38" s="1068"/>
      <c r="S38" s="2965"/>
      <c r="T38" s="2901"/>
      <c r="U38" s="1723"/>
      <c r="V38" s="2175" t="s">
        <v>563</v>
      </c>
      <c r="W38" s="2954" t="s">
        <v>507</v>
      </c>
      <c r="X38" s="2955"/>
      <c r="Y38" s="2954" t="s">
        <v>508</v>
      </c>
      <c r="Z38" s="2961"/>
      <c r="AA38" s="2955"/>
      <c r="AB38" s="2970"/>
      <c r="AC38" s="2175" t="s">
        <v>563</v>
      </c>
      <c r="AD38" s="2954" t="s">
        <v>507</v>
      </c>
      <c r="AE38" s="2955"/>
      <c r="AF38" s="2954" t="s">
        <v>508</v>
      </c>
      <c r="AG38" s="2961"/>
      <c r="AH38" s="2955"/>
      <c r="AI38" s="2970"/>
      <c r="AJ38" s="2973"/>
      <c r="AK38" s="2819"/>
      <c r="AQ38" s="1847">
        <v>34</v>
      </c>
    </row>
    <row customHeight="1" ht="90.3">
      <c r="A39" s="2062"/>
      <c r="B39" s="2062" t="s">
        <v>143</v>
      </c>
      <c r="C39" s="2062" t="s">
        <v>144</v>
      </c>
      <c r="D39" s="2062" t="s">
        <v>145</v>
      </c>
      <c r="E39" s="2056" t="s">
        <v>509</v>
      </c>
      <c r="F39" s="2056" t="s">
        <v>510</v>
      </c>
      <c r="G39" s="2056" t="s">
        <v>511</v>
      </c>
      <c r="H39" s="2056"/>
      <c r="I39" s="2056" t="s">
        <v>564</v>
      </c>
      <c r="J39" s="2056" t="s">
        <v>514</v>
      </c>
      <c r="K39" s="2056" t="s">
        <v>565</v>
      </c>
      <c r="L39" s="2056" t="s">
        <v>490</v>
      </c>
      <c r="Q39" s="1068"/>
      <c r="R39" s="1068"/>
      <c r="S39" s="2965"/>
      <c r="T39" s="2901"/>
      <c r="U39" s="994"/>
      <c r="V39" s="2175" t="s">
        <v>592</v>
      </c>
      <c r="W39" s="1914" t="s">
        <v>593</v>
      </c>
      <c r="X39" s="1914" t="s">
        <v>568</v>
      </c>
      <c r="Y39" s="2181" t="s">
        <v>518</v>
      </c>
      <c r="Z39" s="2962" t="s">
        <v>519</v>
      </c>
      <c r="AA39" s="2963"/>
      <c r="AB39" s="2971"/>
      <c r="AC39" s="2175" t="s">
        <v>592</v>
      </c>
      <c r="AD39" s="1914" t="s">
        <v>593</v>
      </c>
      <c r="AE39" s="1914" t="s">
        <v>568</v>
      </c>
      <c r="AF39" s="2181" t="s">
        <v>518</v>
      </c>
      <c r="AG39" s="2962" t="s">
        <v>519</v>
      </c>
      <c r="AH39" s="2963"/>
      <c r="AI39" s="2971"/>
      <c r="AJ39" s="2974"/>
      <c r="AK39" s="2819"/>
      <c r="AQ39" s="1847">
        <v>86</v>
      </c>
    </row>
    <row s="61193" customFormat="1" customHeight="1" ht="11.25" hidden="1">
      <c r="A40" s="2062"/>
      <c r="B40" s="2062"/>
      <c r="C40" s="2062"/>
      <c r="D40" s="2062"/>
      <c r="E40" s="2062"/>
      <c r="F40" s="2062"/>
      <c r="G40" s="2062"/>
      <c r="H40" s="2062"/>
      <c r="I40" s="2062"/>
      <c r="J40" s="2062"/>
      <c r="K40" s="2062"/>
      <c r="L40" s="2056"/>
      <c r="M40" s="2054"/>
      <c r="N40" s="2054"/>
      <c r="O40" s="2054"/>
      <c r="P40" s="1938"/>
      <c r="Q40" s="1939"/>
      <c r="R40" s="1946">
        <v>1</v>
      </c>
      <c r="S40" s="1969" t="s">
        <v>118</v>
      </c>
      <c r="T40" s="1947" t="s">
        <v>103</v>
      </c>
      <c r="U40" s="1937" t="str">
        <f>OFFSET(U40,0,-1)</f>
        <v>2</v>
      </c>
      <c r="V40" s="2174">
        <f>OFFSET(V40,0,-1)+1</f>
        <v>3</v>
      </c>
      <c r="W40" s="2174">
        <f>OFFSET(W40,0,-1)+1</f>
        <v>4</v>
      </c>
      <c r="X40" s="2174">
        <f>OFFSET(X40,0,-1)+1</f>
        <v>5</v>
      </c>
      <c r="Y40" s="2174">
        <f>OFFSET(Y40,0,-1)+1</f>
        <v>6</v>
      </c>
      <c r="Z40" s="2964">
        <f>OFFSET(Z40,0,-1)+1</f>
        <v>7</v>
      </c>
      <c r="AA40" s="2964"/>
      <c r="AB40" s="2174">
        <f>OFFSET(AB40,0,-2)+1</f>
        <v>8</v>
      </c>
      <c r="AC40" s="2174">
        <f>OFFSET(AC40,0,-1)+1</f>
        <v>9</v>
      </c>
      <c r="AD40" s="2174">
        <f>OFFSET(AD40,0,-1)+1</f>
        <v>10</v>
      </c>
      <c r="AE40" s="2174">
        <f>OFFSET(AE40,0,-1)+1</f>
        <v>11</v>
      </c>
      <c r="AF40" s="2174">
        <f>OFFSET(AF40,0,-1)+1</f>
        <v>12</v>
      </c>
      <c r="AG40" s="2964">
        <f>OFFSET(AG40,0,-1)+1</f>
        <v>13</v>
      </c>
      <c r="AH40" s="2964"/>
      <c r="AI40" s="2174">
        <f>OFFSET(AI40,0,-2)+1</f>
        <v>14</v>
      </c>
      <c r="AJ40" s="1937">
        <f>OFFSET(AJ40,0,-1)</f>
        <v>14</v>
      </c>
      <c r="AK40" s="2174">
        <f>OFFSET(AK40,0,-1)+1</f>
        <v>15</v>
      </c>
      <c r="AL40" s="1203"/>
      <c r="AM40" s="1203"/>
      <c r="AN40" s="1203"/>
      <c r="AO40" s="1203"/>
      <c r="AP40" s="1203"/>
      <c r="AQ40" s="1188">
        <v>0</v>
      </c>
    </row>
    <row customHeight="1" ht="24">
      <c r="A41" s="2055" t="s">
        <v>341</v>
      </c>
      <c r="B41" s="2055"/>
      <c r="C41" s="2055"/>
      <c r="D41" s="2055"/>
      <c r="E41" s="2950">
        <v>1</v>
      </c>
      <c r="F41" s="2055"/>
      <c r="G41" s="2055"/>
      <c r="H41" s="2055"/>
      <c r="I41" s="2055"/>
      <c r="J41" s="2055"/>
      <c r="K41" s="2055"/>
      <c r="L41" s="2056"/>
      <c r="M41" s="2057"/>
      <c r="N41" s="2057"/>
      <c r="O41" s="2057"/>
      <c r="P41" s="1053"/>
      <c r="Q41" s="1052"/>
      <c r="R41" s="1047"/>
      <c r="S41" s="2185">
        <f>INDEX(PT_DIFFERENTIATION_NUM_NTAR,MATCH(A41,PT_DIFFERENTIATION_NTAR_ID,0))</f>
        <v>0</v>
      </c>
      <c r="T41" s="990" t="s">
        <v>131</v>
      </c>
      <c r="U41" s="992"/>
      <c r="V41" s="2934"/>
      <c r="W41" s="2935"/>
      <c r="X41" s="2935"/>
      <c r="Y41" s="2935"/>
      <c r="Z41" s="2935"/>
      <c r="AA41" s="2935"/>
      <c r="AB41" s="2936"/>
      <c r="AC41" s="2934" t="str">
        <f>INDEX(PT_DIFFERENTIATION_NTAR,MATCH(A41,PT_DIFFERENTIATION_NTAR_ID,0))</f>
        <v/>
      </c>
      <c r="AD41" s="2935"/>
      <c r="AE41" s="2935"/>
      <c r="AF41" s="2935"/>
      <c r="AG41" s="2935"/>
      <c r="AH41" s="2935"/>
      <c r="AI41" s="2935"/>
      <c r="AJ41" s="2936"/>
      <c r="AK41"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92"/>
      <c r="AN41" s="1192" t="str">
        <f>IF(T41="","",T41)</f>
        <v>Наименование тарифа</v>
      </c>
      <c r="AO41" s="1192"/>
      <c r="AP41" s="1192"/>
      <c r="AQ41" s="1847">
        <v>23</v>
      </c>
    </row>
    <row customHeight="1" ht="24">
      <c r="A42" s="2055" t="s">
        <v>341</v>
      </c>
      <c r="B42" s="2055" t="s">
        <v>342</v>
      </c>
      <c r="C42" s="2055"/>
      <c r="D42" s="2055"/>
      <c r="E42" s="2951"/>
      <c r="F42" s="2950">
        <v>1</v>
      </c>
      <c r="G42" s="2055"/>
      <c r="H42" s="2055"/>
      <c r="I42" s="2055"/>
      <c r="J42" s="2055"/>
      <c r="K42" s="2055"/>
      <c r="L42" s="2056"/>
      <c r="M42" s="2057"/>
      <c r="N42" s="2057"/>
      <c r="O42" s="2057"/>
      <c r="P42" s="2179"/>
      <c r="Q42" s="1044"/>
      <c r="R42" s="1045"/>
      <c r="S42" s="2185" t="str">
        <f>INDEX(PT_DIFFERENTIATION_NUM_TER,MATCH(B42,PT_DIFFERENTIATION_TER_ID,0))</f>
        <v>.</v>
      </c>
      <c r="T42" s="1000" t="s">
        <v>472</v>
      </c>
      <c r="U42" s="992"/>
      <c r="V42" s="2934"/>
      <c r="W42" s="2935"/>
      <c r="X42" s="2935"/>
      <c r="Y42" s="2935"/>
      <c r="Z42" s="2935"/>
      <c r="AA42" s="2935"/>
      <c r="AB42" s="2936"/>
      <c r="AC42" s="2934" t="str">
        <f>INDEX(PT_DIFFERENTIATION_TER,MATCH(B42,PT_DIFFERENTIATION_TER_ID,0))</f>
        <v/>
      </c>
      <c r="AD42" s="2935"/>
      <c r="AE42" s="2935"/>
      <c r="AF42" s="2935"/>
      <c r="AG42" s="2935"/>
      <c r="AH42" s="2935"/>
      <c r="AI42" s="2935"/>
      <c r="AJ42" s="2936"/>
      <c r="AK42" s="1950" t="s">
        <v>473</v>
      </c>
      <c r="AM42" s="1192"/>
      <c r="AN42" s="1192" t="str">
        <f>IF(T42="","",T42)</f>
        <v>Территория действия тарифа</v>
      </c>
      <c r="AO42" s="1192"/>
      <c r="AP42" s="1192"/>
      <c r="AQ42" s="1847">
        <v>23</v>
      </c>
    </row>
    <row customHeight="1" ht="24">
      <c r="A43" s="2055" t="s">
        <v>341</v>
      </c>
      <c r="B43" s="2055" t="s">
        <v>342</v>
      </c>
      <c r="C43" s="2055" t="s">
        <v>343</v>
      </c>
      <c r="D43" s="2055"/>
      <c r="E43" s="2951"/>
      <c r="F43" s="2951"/>
      <c r="G43" s="2950">
        <v>1</v>
      </c>
      <c r="H43" s="2055"/>
      <c r="I43" s="2055"/>
      <c r="J43" s="2055"/>
      <c r="K43" s="2055"/>
      <c r="L43" s="2056"/>
      <c r="M43" s="2057"/>
      <c r="N43" s="2057"/>
      <c r="O43" s="2057"/>
      <c r="P43" s="1046"/>
      <c r="Q43" s="1044"/>
      <c r="R43" s="1045"/>
      <c r="S43" s="2185" t="str">
        <f>INDEX(PT_DIFFERENTIATION_NUM_CS,MATCH(C43,PT_DIFFERENTIATION_CS_ID,0))</f>
        <v>..</v>
      </c>
      <c r="T43" s="1001" t="s">
        <v>590</v>
      </c>
      <c r="U43" s="992"/>
      <c r="V43" s="2934"/>
      <c r="W43" s="2935"/>
      <c r="X43" s="2935"/>
      <c r="Y43" s="2935"/>
      <c r="Z43" s="2935"/>
      <c r="AA43" s="2935"/>
      <c r="AB43" s="2936"/>
      <c r="AC43" s="2934" t="str">
        <f>INDEX(PT_DIFFERENTIATION_CS,MATCH(C43,PT_DIFFERENTIATION_CS_ID,0))</f>
        <v/>
      </c>
      <c r="AD43" s="2935"/>
      <c r="AE43" s="2935"/>
      <c r="AF43" s="2935"/>
      <c r="AG43" s="2935"/>
      <c r="AH43" s="2935"/>
      <c r="AI43" s="2935"/>
      <c r="AJ43" s="2936"/>
      <c r="AK43" s="1950" t="s">
        <v>591</v>
      </c>
      <c r="AM43" s="1192"/>
      <c r="AN43" s="1192" t="str">
        <f>IF(T43="","",T43)</f>
        <v>Наименование централизованной системы водоотведения</v>
      </c>
      <c r="AO43" s="1192"/>
      <c r="AP43" s="1192"/>
      <c r="AQ43" s="1847">
        <v>23</v>
      </c>
    </row>
    <row customHeight="1" ht="24">
      <c r="A44" s="2055" t="s">
        <v>341</v>
      </c>
      <c r="B44" s="2055" t="s">
        <v>342</v>
      </c>
      <c r="C44" s="2055" t="s">
        <v>343</v>
      </c>
      <c r="D44" s="2055" t="s">
        <v>594</v>
      </c>
      <c r="E44" s="2951"/>
      <c r="F44" s="2951"/>
      <c r="G44" s="2951"/>
      <c r="H44" s="2951"/>
      <c r="I44" s="2948" t="str">
        <f>S43&amp;".1"</f>
        <v>...1</v>
      </c>
      <c r="J44" s="2055"/>
      <c r="K44" s="2055"/>
      <c r="L44" s="2056"/>
      <c r="P44" s="2949">
        <v>1</v>
      </c>
      <c r="Q44" s="2173"/>
      <c r="R44" s="1048"/>
      <c r="S44" s="2185" t="str">
        <f>$I44</f>
        <v>...1</v>
      </c>
      <c r="T44" s="977" t="s">
        <v>557</v>
      </c>
      <c r="U44" s="992"/>
      <c r="V44" s="3042"/>
      <c r="W44" s="3043"/>
      <c r="X44" s="3043"/>
      <c r="Y44" s="3043"/>
      <c r="Z44" s="3043"/>
      <c r="AA44" s="3043"/>
      <c r="AB44" s="3044"/>
      <c r="AC44" s="3045"/>
      <c r="AD44" s="3046"/>
      <c r="AE44" s="3046"/>
      <c r="AF44" s="3046"/>
      <c r="AG44" s="3046"/>
      <c r="AH44" s="3046"/>
      <c r="AI44" s="3046"/>
      <c r="AJ44" s="3047"/>
      <c r="AK44" s="1950" t="s">
        <v>558</v>
      </c>
      <c r="AM44" s="1192"/>
      <c r="AN44" s="1192" t="str">
        <f>IF(T44="","",T44)</f>
        <v>Наименование признака дифференциации</v>
      </c>
      <c r="AO44" s="1192"/>
      <c r="AP44" s="1192"/>
      <c r="AQ44" s="1847">
        <v>23</v>
      </c>
    </row>
    <row customHeight="1" ht="24">
      <c r="A45" s="2055" t="s">
        <v>341</v>
      </c>
      <c r="B45" s="2055" t="s">
        <v>342</v>
      </c>
      <c r="C45" s="2055" t="s">
        <v>343</v>
      </c>
      <c r="D45" s="2055" t="s">
        <v>594</v>
      </c>
      <c r="E45" s="2951"/>
      <c r="F45" s="2951"/>
      <c r="G45" s="2951"/>
      <c r="H45" s="2951"/>
      <c r="I45" s="2978"/>
      <c r="J45" s="2948" t="str">
        <f>I44&amp;".1"</f>
        <v>...1.1</v>
      </c>
      <c r="K45" s="2055"/>
      <c r="L45" s="2056" t="s">
        <v>481</v>
      </c>
      <c r="P45" s="2949"/>
      <c r="Q45" s="2949">
        <v>1</v>
      </c>
      <c r="R45" s="1049"/>
      <c r="S45" s="2185" t="str">
        <f>$J45</f>
        <v>...1.1</v>
      </c>
      <c r="T45" s="978" t="s">
        <v>482</v>
      </c>
      <c r="U45" s="992"/>
      <c r="V45" s="2937"/>
      <c r="W45" s="2938"/>
      <c r="X45" s="2938"/>
      <c r="Y45" s="2938"/>
      <c r="Z45" s="2938"/>
      <c r="AA45" s="2938"/>
      <c r="AB45" s="2939"/>
      <c r="AC45" s="2937"/>
      <c r="AD45" s="2938"/>
      <c r="AE45" s="2938"/>
      <c r="AF45" s="2938"/>
      <c r="AG45" s="2938"/>
      <c r="AH45" s="2938"/>
      <c r="AI45" s="2938"/>
      <c r="AJ45" s="2939"/>
      <c r="AK45" s="1999" t="s">
        <v>559</v>
      </c>
      <c r="AM45" s="1192"/>
      <c r="AN45" s="1192" t="str">
        <f>IF(T45="","",T45)</f>
        <v>Группа потребителей</v>
      </c>
      <c r="AO45" s="1192"/>
      <c r="AP45" s="1192"/>
      <c r="AQ45" s="1847">
        <v>23</v>
      </c>
    </row>
    <row customHeight="1" ht="24">
      <c r="A46" s="2055" t="s">
        <v>341</v>
      </c>
      <c r="B46" s="2055" t="s">
        <v>342</v>
      </c>
      <c r="C46" s="2055" t="s">
        <v>343</v>
      </c>
      <c r="D46" s="2055" t="s">
        <v>594</v>
      </c>
      <c r="E46" s="2951"/>
      <c r="F46" s="2951"/>
      <c r="G46" s="2951"/>
      <c r="H46" s="2951"/>
      <c r="I46" s="2978"/>
      <c r="J46" s="2978"/>
      <c r="K46" s="2948" t="str">
        <f>J45&amp;".1"</f>
        <v>...1.1.1</v>
      </c>
      <c r="L46" s="2056"/>
      <c r="P46" s="2949"/>
      <c r="Q46" s="2949"/>
      <c r="R46" s="1049">
        <v>1</v>
      </c>
      <c r="S46" s="2185" t="str">
        <f>$K46</f>
        <v>...1.1.1</v>
      </c>
      <c r="T46" s="2129"/>
      <c r="U46" s="992"/>
      <c r="V46" s="2052"/>
      <c r="W46" s="2052"/>
      <c r="X46" s="2053"/>
      <c r="Y46" s="2959"/>
      <c r="Z46" s="2960" t="s">
        <v>67</v>
      </c>
      <c r="AA46" s="2959"/>
      <c r="AB46" s="2960" t="s">
        <v>67</v>
      </c>
      <c r="AC46" s="1443"/>
      <c r="AD46" s="1443"/>
      <c r="AE46" s="1949"/>
      <c r="AF46" s="2957"/>
      <c r="AG46" s="2799" t="s">
        <v>67</v>
      </c>
      <c r="AH46" s="2979"/>
      <c r="AI46" s="2799" t="s">
        <v>19</v>
      </c>
      <c r="AJ46" s="2130"/>
      <c r="AK46"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03">
        <f>STRCHECKDATE(V47:AJ47)</f>
      </c>
      <c r="AM46" s="1192"/>
      <c r="AN46" s="1192" t="str">
        <f>IF(T46="","",T46)</f>
        <v/>
      </c>
      <c r="AO46" s="1192"/>
      <c r="AP46" s="1192"/>
      <c r="AQ46" s="1847">
        <v>23</v>
      </c>
    </row>
    <row customHeight="1" ht="0">
      <c r="A47" s="2055" t="s">
        <v>341</v>
      </c>
      <c r="B47" s="2055" t="s">
        <v>342</v>
      </c>
      <c r="C47" s="2055" t="s">
        <v>343</v>
      </c>
      <c r="D47" s="2055" t="s">
        <v>594</v>
      </c>
      <c r="E47" s="2951"/>
      <c r="F47" s="2951"/>
      <c r="G47" s="2951"/>
      <c r="H47" s="2951"/>
      <c r="I47" s="2978"/>
      <c r="J47" s="2978"/>
      <c r="K47" s="2948"/>
      <c r="L47" s="2056"/>
      <c r="P47" s="2949"/>
      <c r="Q47" s="2949"/>
      <c r="R47" s="1049"/>
      <c r="S47" s="2182"/>
      <c r="T47" s="992"/>
      <c r="U47" s="992"/>
      <c r="V47" s="2052"/>
      <c r="W47" s="2052"/>
      <c r="X47" s="1020" t="str">
        <f>Y46&amp;"-"&amp;AA46</f>
        <v>-</v>
      </c>
      <c r="Y47" s="2960"/>
      <c r="Z47" s="2960"/>
      <c r="AA47" s="2960"/>
      <c r="AB47" s="2960"/>
      <c r="AC47" s="1017"/>
      <c r="AD47" s="1017"/>
      <c r="AE47" s="1020" t="str">
        <f>AF46&amp;"-"&amp;AH46</f>
        <v>-</v>
      </c>
      <c r="AF47" s="2958"/>
      <c r="AG47" s="2799"/>
      <c r="AH47" s="2980"/>
      <c r="AI47" s="2799"/>
      <c r="AJ47" s="2131"/>
      <c r="AK47" s="3041"/>
      <c r="AM47" s="1192"/>
      <c r="AN47" s="1192" t="str">
        <f>IF(T47="","",T47)</f>
        <v/>
      </c>
      <c r="AO47" s="1192"/>
      <c r="AP47" s="1192"/>
      <c r="AQ47" s="1847">
        <v>0</v>
      </c>
    </row>
    <row customHeight="1" ht="21">
      <c r="A48" s="2055" t="s">
        <v>341</v>
      </c>
      <c r="B48" s="2055" t="s">
        <v>342</v>
      </c>
      <c r="C48" s="2055" t="s">
        <v>343</v>
      </c>
      <c r="D48" s="2055" t="s">
        <v>594</v>
      </c>
      <c r="E48" s="2951"/>
      <c r="F48" s="2951"/>
      <c r="G48" s="2951"/>
      <c r="H48" s="2951"/>
      <c r="I48" s="2978"/>
      <c r="J48" s="2948"/>
      <c r="K48" s="2055"/>
      <c r="L48" s="2056"/>
      <c r="P48" s="2949"/>
      <c r="Q48" s="2949"/>
      <c r="R48" s="1048"/>
      <c r="S48" s="1970"/>
      <c r="T48" s="979" t="s">
        <v>560</v>
      </c>
      <c r="U48" s="1059"/>
      <c r="V48" s="1059"/>
      <c r="W48" s="1059"/>
      <c r="X48" s="1059"/>
      <c r="Y48" s="1059"/>
      <c r="Z48" s="1059"/>
      <c r="AA48" s="1059"/>
      <c r="AB48" s="1059"/>
      <c r="AC48" s="1059"/>
      <c r="AD48" s="1059"/>
      <c r="AE48" s="1059"/>
      <c r="AF48" s="1059"/>
      <c r="AG48" s="1059"/>
      <c r="AH48" s="1059"/>
      <c r="AI48" s="1059"/>
      <c r="AJ48" s="1059"/>
      <c r="AK48" s="1950" t="s">
        <v>561</v>
      </c>
      <c r="AM48" s="1192"/>
      <c r="AN48" s="1192" t="str">
        <f>IF(T48="","",T48)</f>
        <v>Добавить значение признака дифференциации</v>
      </c>
      <c r="AO48" s="1192"/>
      <c r="AP48" s="1192"/>
      <c r="AQ48" s="1847">
        <v>20</v>
      </c>
    </row>
    <row customHeight="1" ht="22.049999999999997">
      <c r="A49" s="2055" t="s">
        <v>341</v>
      </c>
      <c r="B49" s="2055" t="s">
        <v>342</v>
      </c>
      <c r="C49" s="2055" t="s">
        <v>343</v>
      </c>
      <c r="D49" s="2055" t="s">
        <v>594</v>
      </c>
      <c r="E49" s="2951"/>
      <c r="F49" s="2951"/>
      <c r="G49" s="2951"/>
      <c r="H49" s="2951"/>
      <c r="I49" s="2948"/>
      <c r="J49" s="2055"/>
      <c r="K49" s="2055"/>
      <c r="L49" s="2056"/>
      <c r="P49" s="2949"/>
      <c r="Q49" s="2173"/>
      <c r="R49" s="1048"/>
      <c r="S49" s="1970"/>
      <c r="T49" s="1057" t="s">
        <v>487</v>
      </c>
      <c r="U49" s="1059"/>
      <c r="V49" s="1059"/>
      <c r="W49" s="1059"/>
      <c r="X49" s="1059"/>
      <c r="Y49" s="1059"/>
      <c r="Z49" s="1059"/>
      <c r="AA49" s="1059"/>
      <c r="AB49" s="1058"/>
      <c r="AC49" s="1059"/>
      <c r="AD49" s="1059"/>
      <c r="AE49" s="1059"/>
      <c r="AF49" s="1059"/>
      <c r="AG49" s="1059"/>
      <c r="AH49" s="1059"/>
      <c r="AI49" s="1058"/>
      <c r="AJ49" s="1059"/>
      <c r="AK49" s="2132"/>
      <c r="AM49" s="1192"/>
      <c r="AN49" s="1192" t="str">
        <f>IF(T49="","",T49)</f>
        <v>Добавить группу потребителей</v>
      </c>
      <c r="AO49" s="1192"/>
      <c r="AP49" s="1192"/>
      <c r="AQ49" s="1847">
        <v>21</v>
      </c>
    </row>
    <row customHeight="1" ht="22.049999999999997">
      <c r="A50" s="2055" t="s">
        <v>341</v>
      </c>
      <c r="B50" s="2055" t="s">
        <v>342</v>
      </c>
      <c r="C50" s="2055" t="s">
        <v>343</v>
      </c>
      <c r="D50" s="2055" t="s">
        <v>594</v>
      </c>
      <c r="E50" s="2951"/>
      <c r="F50" s="2951"/>
      <c r="G50" s="2951"/>
      <c r="H50" s="2950"/>
      <c r="I50" s="2055"/>
      <c r="J50" s="2055"/>
      <c r="K50" s="2055"/>
      <c r="L50" s="2056"/>
      <c r="M50" s="2057"/>
      <c r="N50" s="2057"/>
      <c r="O50" s="1229"/>
      <c r="P50" s="1052"/>
      <c r="Q50" s="1067"/>
      <c r="R50" s="1047"/>
      <c r="S50" s="1970"/>
      <c r="T50" s="1064" t="s">
        <v>562</v>
      </c>
      <c r="U50" s="1059"/>
      <c r="V50" s="1059"/>
      <c r="W50" s="1059"/>
      <c r="X50" s="1059"/>
      <c r="Y50" s="1059"/>
      <c r="Z50" s="1059"/>
      <c r="AA50" s="1059"/>
      <c r="AB50" s="1058"/>
      <c r="AC50" s="1059"/>
      <c r="AD50" s="1059"/>
      <c r="AE50" s="1059"/>
      <c r="AF50" s="1059"/>
      <c r="AG50" s="1059"/>
      <c r="AH50" s="1059"/>
      <c r="AI50" s="1058"/>
      <c r="AJ50" s="1059"/>
      <c r="AK50" s="995"/>
      <c r="AM50" s="1192"/>
      <c r="AN50" s="1192" t="str">
        <f>IF(T50="","",T50)</f>
        <v>Добавить наименование признака дифференциации</v>
      </c>
      <c r="AO50" s="1192"/>
      <c r="AP50" s="1192"/>
      <c r="AQ50" s="1847">
        <v>21</v>
      </c>
    </row>
    <row s="61695" customFormat="1" customHeight="1" ht="0">
      <c r="A51" s="2035" t="s">
        <v>341</v>
      </c>
      <c r="B51" s="2035" t="s">
        <v>342</v>
      </c>
      <c r="C51" s="2006"/>
      <c r="D51" s="2006"/>
      <c r="E51" s="2951"/>
      <c r="F51" s="2950"/>
      <c r="G51" s="2006"/>
      <c r="H51" s="2006"/>
      <c r="I51" s="2006"/>
      <c r="J51" s="2006"/>
      <c r="K51" s="2006"/>
      <c r="L51" s="2186"/>
      <c r="M51" s="2013"/>
      <c r="N51" s="2013"/>
      <c r="P51" s="2008"/>
      <c r="Q51" s="2009"/>
      <c r="R51" s="2008"/>
      <c r="S51" s="2014"/>
      <c r="T51" s="2017" t="s">
        <v>172</v>
      </c>
      <c r="U51" s="2016"/>
      <c r="V51" s="2016"/>
      <c r="W51" s="2016"/>
      <c r="X51" s="2016"/>
      <c r="Y51" s="2016"/>
      <c r="Z51" s="2016"/>
      <c r="AA51" s="2016"/>
      <c r="AB51" s="2016"/>
      <c r="AC51" s="2016"/>
      <c r="AD51" s="2016"/>
      <c r="AE51" s="2016"/>
      <c r="AF51" s="2016"/>
      <c r="AG51" s="2016"/>
      <c r="AH51" s="2016"/>
      <c r="AI51" s="2016"/>
      <c r="AJ51" s="2016"/>
      <c r="AK51" s="2016"/>
      <c r="AM51" s="1481"/>
      <c r="AN51" s="1481" t="str">
        <f>IF(T51="","",T51)</f>
        <v>Добавить централизованную систему для дифференциации</v>
      </c>
      <c r="AO51" s="1481"/>
      <c r="AP51" s="1481"/>
      <c r="AQ51" s="1210">
        <v>0</v>
      </c>
    </row>
    <row s="61695" customFormat="1" customHeight="1" ht="0">
      <c r="A52" s="2035" t="s">
        <v>341</v>
      </c>
      <c r="B52" s="2035"/>
      <c r="C52" s="2035"/>
      <c r="D52" s="2035"/>
      <c r="E52" s="2950"/>
      <c r="F52" s="2035"/>
      <c r="G52" s="2035"/>
      <c r="H52" s="2035"/>
      <c r="I52" s="2035"/>
      <c r="J52" s="2035"/>
      <c r="K52" s="2035"/>
      <c r="L52" s="2038"/>
      <c r="M52" s="2013"/>
      <c r="N52" s="2013"/>
      <c r="O52" s="1210"/>
      <c r="P52" s="1072"/>
      <c r="Q52" s="2036"/>
      <c r="R52" s="1072"/>
      <c r="S52" s="2014"/>
      <c r="T52" s="2017" t="s">
        <v>173</v>
      </c>
      <c r="U52" s="2016"/>
      <c r="V52" s="2016"/>
      <c r="W52" s="2016"/>
      <c r="X52" s="2016"/>
      <c r="Y52" s="2016"/>
      <c r="Z52" s="2016"/>
      <c r="AA52" s="2016"/>
      <c r="AB52" s="2016"/>
      <c r="AC52" s="2016"/>
      <c r="AD52" s="2016"/>
      <c r="AE52" s="2016"/>
      <c r="AF52" s="2016"/>
      <c r="AG52" s="2016"/>
      <c r="AH52" s="2016"/>
      <c r="AI52" s="2016"/>
      <c r="AJ52" s="2016"/>
      <c r="AK52" s="2016"/>
      <c r="AM52" s="1192"/>
      <c r="AN52" s="1192" t="str">
        <f>IF(T52="","",T52)</f>
        <v>Добавить территорию для дифференциации</v>
      </c>
      <c r="AO52" s="1192"/>
      <c r="AP52" s="1192"/>
      <c r="AQ52" s="1203">
        <v>0</v>
      </c>
    </row>
    <row s="61695" customFormat="1" customHeight="1" ht="0">
      <c r="A53" s="2006"/>
      <c r="B53" s="2006"/>
      <c r="C53" s="2006"/>
      <c r="D53" s="2006"/>
      <c r="E53" s="2035"/>
      <c r="F53" s="2006"/>
      <c r="G53" s="2006"/>
      <c r="H53" s="2006"/>
      <c r="I53" s="2006"/>
      <c r="J53" s="2006"/>
      <c r="K53" s="2006"/>
      <c r="L53" s="2186"/>
      <c r="M53" s="2013"/>
      <c r="N53" s="2013"/>
      <c r="P53" s="2008"/>
      <c r="Q53" s="2009"/>
      <c r="R53" s="2008"/>
      <c r="S53" s="2014"/>
      <c r="T53" s="2017" t="s">
        <v>186</v>
      </c>
      <c r="U53" s="2016"/>
      <c r="V53" s="2016"/>
      <c r="W53" s="2016"/>
      <c r="X53" s="2016"/>
      <c r="Y53" s="2016"/>
      <c r="Z53" s="2016"/>
      <c r="AA53" s="2016"/>
      <c r="AB53" s="2016"/>
      <c r="AC53" s="2016"/>
      <c r="AD53" s="2016"/>
      <c r="AE53" s="2016"/>
      <c r="AF53" s="2016"/>
      <c r="AG53" s="2016"/>
      <c r="AH53" s="2016"/>
      <c r="AI53" s="2016"/>
      <c r="AJ53" s="2016"/>
      <c r="AK53" s="2016"/>
      <c r="AM53" s="1481"/>
      <c r="AN53" s="1481" t="str">
        <f>IF(T53="","",T53)</f>
        <v>Добавить наименование тарифа</v>
      </c>
      <c r="AO53" s="1481"/>
      <c r="AP53" s="1481"/>
      <c r="AQ53" s="1210">
        <v>0</v>
      </c>
    </row>
    <row customHeight="1" ht="11.549999999999999">
      <c r="M54" s="1852"/>
      <c r="N54" s="1852"/>
      <c r="O54" s="1229"/>
      <c r="P54" s="1847"/>
      <c r="Q54" s="1847"/>
      <c r="R54" s="1847"/>
      <c r="S54" s="1847"/>
      <c r="AL54" s="1847"/>
      <c r="AM54" s="1847"/>
      <c r="AN54" s="1847"/>
      <c r="AO54" s="1847"/>
      <c r="AP54" s="1847"/>
      <c r="AQ54" s="1847">
        <v>11</v>
      </c>
    </row>
    <row customHeight="1" ht="14.699999999999998">
      <c r="O55" s="1229"/>
      <c r="S55" s="1945"/>
      <c r="T55" s="2977"/>
      <c r="U55" s="2977"/>
      <c r="V55" s="2977"/>
      <c r="W55" s="2977"/>
      <c r="X55" s="2977"/>
      <c r="Y55" s="2977"/>
      <c r="Z55" s="2977"/>
      <c r="AA55" s="2977"/>
      <c r="AB55" s="2977"/>
      <c r="AC55" s="2977"/>
      <c r="AD55" s="2977"/>
      <c r="AE55" s="2977"/>
      <c r="AF55" s="2977"/>
      <c r="AG55" s="2977"/>
      <c r="AH55" s="2977"/>
      <c r="AI55" s="2977"/>
      <c r="AJ55" s="2977"/>
      <c r="AK55" s="2977"/>
      <c r="AQ55" s="1847">
        <v>14</v>
      </c>
    </row>
    <row customHeight="1" ht="14.699999999999998">
      <c r="O56" s="1229"/>
      <c r="AQ56" s="1847">
        <v>14</v>
      </c>
    </row>
    <row customHeight="1" ht="14.699999999999998">
      <c r="O57" s="1229"/>
      <c r="S57" s="1945"/>
      <c r="T57" s="2977"/>
      <c r="U57" s="2977"/>
      <c r="V57" s="2977"/>
      <c r="W57" s="2977"/>
      <c r="X57" s="2977"/>
      <c r="Y57" s="2977"/>
      <c r="Z57" s="2977"/>
      <c r="AA57" s="2977"/>
      <c r="AB57" s="2977"/>
      <c r="AC57" s="2977"/>
      <c r="AD57" s="2977"/>
      <c r="AE57" s="2977"/>
      <c r="AF57" s="2977"/>
      <c r="AG57" s="2977"/>
      <c r="AH57" s="2977"/>
      <c r="AI57" s="2977"/>
      <c r="AJ57" s="2977"/>
      <c r="AK57" s="2977"/>
      <c r="AQ57" s="1847">
        <v>14</v>
      </c>
    </row>
    <row customHeight="1" ht="22.5" hidden="1">
      <c r="A58" s="1852" t="s">
        <v>83</v>
      </c>
      <c r="B58" s="1852">
        <v>0</v>
      </c>
      <c r="C58" s="1852">
        <v>0</v>
      </c>
      <c r="D58" s="1852">
        <v>0</v>
      </c>
      <c r="E58" s="1852">
        <v>0</v>
      </c>
      <c r="F58" s="1852">
        <v>0</v>
      </c>
      <c r="G58" s="1852">
        <v>0</v>
      </c>
      <c r="H58" s="1852">
        <v>0</v>
      </c>
      <c r="I58" s="1852">
        <v>0</v>
      </c>
      <c r="J58" s="1852">
        <v>0</v>
      </c>
      <c r="K58" s="1852">
        <v>0</v>
      </c>
      <c r="L58" s="2170">
        <v>0</v>
      </c>
      <c r="M58" s="2054">
        <v>0</v>
      </c>
      <c r="N58" s="2054">
        <v>0</v>
      </c>
      <c r="O58" s="2054">
        <v>0</v>
      </c>
      <c r="P58" s="2165">
        <v>3</v>
      </c>
      <c r="Q58" s="1036">
        <v>3</v>
      </c>
      <c r="R58" s="1036">
        <v>3</v>
      </c>
      <c r="S58" s="1273">
        <v>12</v>
      </c>
      <c r="T58" s="1847">
        <v>35</v>
      </c>
      <c r="U58" s="1847">
        <v>0</v>
      </c>
      <c r="V58" s="1847">
        <v>0</v>
      </c>
      <c r="W58" s="1847">
        <v>0</v>
      </c>
      <c r="X58" s="1847">
        <v>0</v>
      </c>
      <c r="Y58" s="1847">
        <v>0</v>
      </c>
      <c r="Z58" s="1847">
        <v>0</v>
      </c>
      <c r="AA58" s="1847">
        <v>0</v>
      </c>
      <c r="AB58" s="1847">
        <v>0</v>
      </c>
      <c r="AC58" s="1847">
        <v>24</v>
      </c>
      <c r="AD58" s="1847">
        <v>24</v>
      </c>
      <c r="AE58" s="1847">
        <v>24</v>
      </c>
      <c r="AF58" s="1847">
        <v>11</v>
      </c>
      <c r="AG58" s="1847">
        <v>3</v>
      </c>
      <c r="AH58" s="1847">
        <v>11</v>
      </c>
      <c r="AI58" s="1847">
        <v>0</v>
      </c>
      <c r="AJ58" s="1847">
        <v>4</v>
      </c>
      <c r="AK58" s="1847">
        <v>115</v>
      </c>
      <c r="AL58" s="1203">
        <v>10</v>
      </c>
      <c r="AM58" s="1203">
        <v>10</v>
      </c>
      <c r="AN58" s="1203">
        <v>10</v>
      </c>
      <c r="AO58" s="1203">
        <v>10</v>
      </c>
      <c r="AP58" s="1203">
        <v>10</v>
      </c>
      <c r="AQ58" s="184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87173B-A9D2-0697-58AF-01522AC73DF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4.140625" hidden="1" customWidth="1"/>
    <col min="10" max="10" style="62148" width="9.8515625" hidden="1" customWidth="1"/>
    <col min="11" max="11" style="62148" width="14.7109375" hidden="1" customWidth="1"/>
    <col min="12" max="12" style="63164" width="19.140625" hidden="1" customWidth="1"/>
    <col min="13" max="14" style="61371" width="12.28125" hidden="1" customWidth="1"/>
    <col min="15" max="15" style="61371" width="23.421875" hidden="1" customWidth="1"/>
    <col min="16" max="16" style="63184" width="3.00390625" customWidth="1"/>
    <col min="17" max="18" style="62288" width="3.00390625" customWidth="1"/>
    <col min="19" max="19" style="63156" width="12.00390625" customWidth="1"/>
    <col min="20" max="20" style="62286" width="35.00390625" customWidth="1"/>
    <col min="21" max="21" style="62286" width="0.140625" customWidth="1"/>
    <col min="22" max="24" style="62286" width="24.7109375" hidden="1" customWidth="1"/>
    <col min="25" max="25" style="62286" width="11.7109375" hidden="1" customWidth="1"/>
    <col min="26" max="26" style="62286" width="3.7109375" hidden="1" customWidth="1"/>
    <col min="27" max="27" style="62286" width="11.7109375" hidden="1" customWidth="1"/>
    <col min="28" max="28" style="62286" width="8.57421875" hidden="1" customWidth="1"/>
    <col min="29" max="29" style="62286" width="24.7109375" customWidth="1"/>
    <col min="30" max="31" style="62286" width="24.00390625" customWidth="1"/>
    <col min="32" max="32" style="62286" width="11.00390625" customWidth="1"/>
    <col min="33" max="33" style="62286" width="3.7109375" customWidth="1"/>
    <col min="34" max="34" style="62286" width="11.00390625" customWidth="1"/>
    <col min="35" max="35" style="62286" width="8.57421875" hidden="1" customWidth="1"/>
    <col min="36" max="36" style="62286" width="4.00390625" customWidth="1"/>
    <col min="37" max="37" style="62286" width="115.00390625" customWidth="1"/>
    <col min="38" max="42" style="61695" width="10.00390625" customWidth="1"/>
    <col min="43" max="43" style="62286" width="10.57421875" hidden="1"/>
  </cols>
  <sheetData>
    <row customHeight="1" ht="22.5" hidden="1">
      <c r="X1" s="1019"/>
      <c r="Y1" s="1019"/>
      <c r="AE1" s="1019"/>
      <c r="AF1" s="1019"/>
      <c r="AQ1" s="1847" t="s">
        <v>14</v>
      </c>
    </row>
    <row customHeight="1" ht="23.25" hidden="1">
      <c r="A2" s="2055"/>
      <c r="B2" s="2055"/>
      <c r="C2" s="2055"/>
      <c r="D2" s="2055"/>
      <c r="E2" s="2950">
        <v>1</v>
      </c>
      <c r="F2" s="2055"/>
      <c r="G2" s="2055"/>
      <c r="H2" s="2055"/>
      <c r="I2" s="2055"/>
      <c r="J2" s="2055"/>
      <c r="K2" s="2055"/>
      <c r="L2" s="2056"/>
      <c r="M2" s="2057"/>
      <c r="N2" s="2057"/>
      <c r="O2" s="2057"/>
      <c r="P2" s="1053"/>
      <c r="Q2" s="1052"/>
      <c r="R2" s="1047"/>
      <c r="S2" s="2185">
        <f>INDEX(PT_DIFFERENTIATION_NUM_NTAR,MATCH(A2,PT_DIFFERENTIATION_NTAR_ID,0))</f>
      </c>
      <c r="T2" s="990" t="s">
        <v>131</v>
      </c>
      <c r="U2" s="992"/>
      <c r="V2" s="2934"/>
      <c r="W2" s="2935"/>
      <c r="X2" s="2935"/>
      <c r="Y2" s="2935"/>
      <c r="Z2" s="2935"/>
      <c r="AA2" s="2935"/>
      <c r="AB2" s="2936"/>
      <c r="AC2" s="2934">
        <f>INDEX(PT_DIFFERENTIATION_NTAR,MATCH(A2,PT_DIFFERENTIATION_NTAR_ID,0))</f>
      </c>
      <c r="AD2" s="2935"/>
      <c r="AE2" s="2935"/>
      <c r="AF2" s="2935"/>
      <c r="AG2" s="2935"/>
      <c r="AH2" s="2935"/>
      <c r="AI2" s="2935"/>
      <c r="AJ2" s="2936"/>
      <c r="AK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92"/>
      <c r="AN2" s="1192" t="str">
        <f>IF(T2="","",T2)</f>
        <v>Наименование тарифа</v>
      </c>
      <c r="AO2" s="1192"/>
      <c r="AP2" s="1192"/>
      <c r="AQ2" s="1847">
        <v>0</v>
      </c>
    </row>
    <row customHeight="1" ht="23.25" hidden="1">
      <c r="A3" s="2055"/>
      <c r="B3" s="2055"/>
      <c r="C3" s="2055"/>
      <c r="D3" s="2055"/>
      <c r="E3" s="2951"/>
      <c r="F3" s="2950">
        <v>1</v>
      </c>
      <c r="G3" s="2055"/>
      <c r="H3" s="2055"/>
      <c r="I3" s="2055"/>
      <c r="J3" s="2055"/>
      <c r="K3" s="2055"/>
      <c r="L3" s="2056"/>
      <c r="M3" s="2057"/>
      <c r="N3" s="2057"/>
      <c r="O3" s="2057"/>
      <c r="P3" s="2179"/>
      <c r="Q3" s="1044"/>
      <c r="R3" s="1045"/>
      <c r="S3" s="2185">
        <f>INDEX(PT_DIFFERENTIATION_NUM_TER,MATCH(B3,PT_DIFFERENTIATION_TER_ID,0))</f>
      </c>
      <c r="T3" s="1000" t="s">
        <v>472</v>
      </c>
      <c r="U3" s="992"/>
      <c r="V3" s="2934"/>
      <c r="W3" s="2935"/>
      <c r="X3" s="2935"/>
      <c r="Y3" s="2935"/>
      <c r="Z3" s="2935"/>
      <c r="AA3" s="2935"/>
      <c r="AB3" s="2936"/>
      <c r="AC3" s="2934">
        <f>INDEX(PT_DIFFERENTIATION_TER,MATCH(B3,PT_DIFFERENTIATION_TER_ID,0))</f>
      </c>
      <c r="AD3" s="2935"/>
      <c r="AE3" s="2935"/>
      <c r="AF3" s="2935"/>
      <c r="AG3" s="2935"/>
      <c r="AH3" s="2935"/>
      <c r="AI3" s="2935"/>
      <c r="AJ3" s="2936"/>
      <c r="AK3" s="1950" t="s">
        <v>473</v>
      </c>
      <c r="AM3" s="1192"/>
      <c r="AN3" s="1192" t="str">
        <f>IF(T3="","",T3)</f>
        <v>Территория действия тарифа</v>
      </c>
      <c r="AO3" s="1192"/>
      <c r="AP3" s="1192"/>
      <c r="AQ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185">
        <f>INDEX(PT_DIFFERENTIATION_NUM_CS,MATCH(C4,PT_DIFFERENTIATION_CS_ID,0))</f>
      </c>
      <c r="T4" s="1001" t="s">
        <v>590</v>
      </c>
      <c r="U4" s="992"/>
      <c r="V4" s="2934"/>
      <c r="W4" s="2935"/>
      <c r="X4" s="2935"/>
      <c r="Y4" s="2935"/>
      <c r="Z4" s="2935"/>
      <c r="AA4" s="2935"/>
      <c r="AB4" s="2936"/>
      <c r="AC4" s="2934">
        <f>INDEX(PT_DIFFERENTIATION_CS,MATCH(C4,PT_DIFFERENTIATION_CS_ID,0))</f>
      </c>
      <c r="AD4" s="2935"/>
      <c r="AE4" s="2935"/>
      <c r="AF4" s="2935"/>
      <c r="AG4" s="2935"/>
      <c r="AH4" s="2935"/>
      <c r="AI4" s="2935"/>
      <c r="AJ4" s="2936"/>
      <c r="AK4" s="1950" t="s">
        <v>591</v>
      </c>
      <c r="AM4" s="1192"/>
      <c r="AN4" s="1192" t="str">
        <f>IF(T4="","",T4)</f>
        <v>Наименование централизованной системы водоотведения</v>
      </c>
      <c r="AO4" s="1192"/>
      <c r="AP4" s="1192"/>
      <c r="AQ4" s="1847">
        <v>0</v>
      </c>
    </row>
    <row customHeight="1" ht="23.25" hidden="1">
      <c r="A5" s="2055"/>
      <c r="B5" s="2055"/>
      <c r="C5" s="2055"/>
      <c r="D5" s="2055"/>
      <c r="E5" s="2951"/>
      <c r="F5" s="2951"/>
      <c r="G5" s="2951"/>
      <c r="H5" s="2951"/>
      <c r="I5" s="2948">
        <f>S4&amp;".1"</f>
      </c>
      <c r="J5" s="2055"/>
      <c r="K5" s="2055"/>
      <c r="L5" s="2056"/>
      <c r="P5" s="2949">
        <v>1</v>
      </c>
      <c r="Q5" s="2173"/>
      <c r="R5" s="1048"/>
      <c r="S5" s="2185">
        <f>$I5</f>
      </c>
      <c r="T5" s="977" t="s">
        <v>557</v>
      </c>
      <c r="U5" s="992"/>
      <c r="V5" s="3042"/>
      <c r="W5" s="3043"/>
      <c r="X5" s="3043"/>
      <c r="Y5" s="3043"/>
      <c r="Z5" s="3043"/>
      <c r="AA5" s="3043"/>
      <c r="AB5" s="3044"/>
      <c r="AC5" s="3045"/>
      <c r="AD5" s="3046"/>
      <c r="AE5" s="3046"/>
      <c r="AF5" s="3046"/>
      <c r="AG5" s="3046"/>
      <c r="AH5" s="3046"/>
      <c r="AI5" s="3046"/>
      <c r="AJ5" s="3047"/>
      <c r="AK5" s="1950" t="s">
        <v>558</v>
      </c>
      <c r="AM5" s="1192"/>
      <c r="AN5" s="1192" t="str">
        <f>IF(T5="","",T5)</f>
        <v>Наименование признака дифференциации</v>
      </c>
      <c r="AO5" s="1192"/>
      <c r="AP5" s="1192"/>
      <c r="AQ5" s="1847">
        <v>0</v>
      </c>
    </row>
    <row customHeight="1" ht="23.25" hidden="1">
      <c r="A6" s="2055"/>
      <c r="B6" s="2055"/>
      <c r="C6" s="2055"/>
      <c r="D6" s="2055"/>
      <c r="E6" s="2951"/>
      <c r="F6" s="2951"/>
      <c r="G6" s="2951"/>
      <c r="H6" s="2951"/>
      <c r="I6" s="2978"/>
      <c r="J6" s="2948">
        <f>I5&amp;".1"</f>
      </c>
      <c r="K6" s="2055"/>
      <c r="L6" s="2056" t="s">
        <v>481</v>
      </c>
      <c r="P6" s="2949"/>
      <c r="Q6" s="2949">
        <v>1</v>
      </c>
      <c r="R6" s="1049"/>
      <c r="S6" s="2185">
        <f>$J6</f>
      </c>
      <c r="T6" s="978" t="s">
        <v>482</v>
      </c>
      <c r="U6" s="992"/>
      <c r="V6" s="2937"/>
      <c r="W6" s="2938"/>
      <c r="X6" s="2938"/>
      <c r="Y6" s="2938"/>
      <c r="Z6" s="2938"/>
      <c r="AA6" s="2938"/>
      <c r="AB6" s="2939"/>
      <c r="AC6" s="2937"/>
      <c r="AD6" s="2938"/>
      <c r="AE6" s="2938"/>
      <c r="AF6" s="2938"/>
      <c r="AG6" s="2938"/>
      <c r="AH6" s="2938"/>
      <c r="AI6" s="2938"/>
      <c r="AJ6" s="2939"/>
      <c r="AK6" s="1999" t="s">
        <v>559</v>
      </c>
      <c r="AM6" s="1192"/>
      <c r="AN6" s="1192" t="str">
        <f>IF(T6="","",T6)</f>
        <v>Группа потребителей</v>
      </c>
      <c r="AO6" s="1192"/>
      <c r="AP6" s="1192"/>
      <c r="AQ6" s="1847">
        <v>0</v>
      </c>
    </row>
    <row customHeight="1" ht="23.25" hidden="1">
      <c r="A7" s="2055"/>
      <c r="B7" s="2055"/>
      <c r="C7" s="2055"/>
      <c r="D7" s="2055"/>
      <c r="E7" s="2951"/>
      <c r="F7" s="2951"/>
      <c r="G7" s="2951"/>
      <c r="H7" s="2951"/>
      <c r="I7" s="2978"/>
      <c r="J7" s="2978"/>
      <c r="K7" s="2948">
        <f>J6&amp;".1"</f>
      </c>
      <c r="L7" s="2056"/>
      <c r="P7" s="2949"/>
      <c r="Q7" s="2949"/>
      <c r="R7" s="1049">
        <v>1</v>
      </c>
      <c r="S7" s="2185">
        <f>$K7</f>
      </c>
      <c r="T7" s="2129"/>
      <c r="U7" s="992"/>
      <c r="V7" s="1443"/>
      <c r="W7" s="1443"/>
      <c r="X7" s="1949"/>
      <c r="Y7" s="2957"/>
      <c r="Z7" s="2799" t="s">
        <v>67</v>
      </c>
      <c r="AA7" s="2957"/>
      <c r="AB7" s="2799" t="s">
        <v>67</v>
      </c>
      <c r="AC7" s="1443"/>
      <c r="AD7" s="1443"/>
      <c r="AE7" s="1949"/>
      <c r="AF7" s="2957"/>
      <c r="AG7" s="2799" t="s">
        <v>67</v>
      </c>
      <c r="AH7" s="2979"/>
      <c r="AI7" s="2799" t="s">
        <v>67</v>
      </c>
      <c r="AJ7" s="2130"/>
      <c r="AK7"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03">
        <f>STRCHECKDATE(V8:AJ8)</f>
      </c>
      <c r="AM7" s="1192"/>
      <c r="AN7" s="1192" t="str">
        <f>IF(T7="","",T7)</f>
        <v/>
      </c>
      <c r="AO7" s="1192"/>
      <c r="AP7" s="1192"/>
      <c r="AQ7" s="1847">
        <v>0</v>
      </c>
    </row>
    <row customHeight="1" ht="14.25" hidden="1">
      <c r="A8" s="2055"/>
      <c r="B8" s="2055"/>
      <c r="C8" s="2055"/>
      <c r="D8" s="2055"/>
      <c r="E8" s="2951"/>
      <c r="F8" s="2951"/>
      <c r="G8" s="2951"/>
      <c r="H8" s="2951"/>
      <c r="I8" s="2978"/>
      <c r="J8" s="2978"/>
      <c r="K8" s="2948"/>
      <c r="L8" s="2056"/>
      <c r="P8" s="2949"/>
      <c r="Q8" s="2949"/>
      <c r="R8" s="1049"/>
      <c r="S8" s="2182"/>
      <c r="T8" s="992"/>
      <c r="U8" s="992"/>
      <c r="V8" s="1017"/>
      <c r="W8" s="1017"/>
      <c r="X8" s="1020" t="str">
        <f>Y7&amp;"-"&amp;AA7</f>
        <v>-</v>
      </c>
      <c r="Y8" s="2958"/>
      <c r="Z8" s="2799"/>
      <c r="AA8" s="2958"/>
      <c r="AB8" s="2799"/>
      <c r="AC8" s="1017"/>
      <c r="AD8" s="1017"/>
      <c r="AE8" s="1020" t="str">
        <f>AF7&amp;"-"&amp;AH7</f>
        <v>-</v>
      </c>
      <c r="AF8" s="2958"/>
      <c r="AG8" s="2799"/>
      <c r="AH8" s="2980"/>
      <c r="AI8" s="2799"/>
      <c r="AJ8" s="2131"/>
      <c r="AK8" s="3041"/>
      <c r="AM8" s="1192"/>
      <c r="AN8" s="1192" t="str">
        <f>IF(T8="","",T8)</f>
        <v/>
      </c>
      <c r="AO8" s="1192"/>
      <c r="AP8" s="1192"/>
      <c r="AQ8" s="1847">
        <v>0</v>
      </c>
    </row>
    <row customHeight="1" ht="21" hidden="1">
      <c r="A9" s="2055"/>
      <c r="B9" s="2055"/>
      <c r="C9" s="2055"/>
      <c r="D9" s="2055"/>
      <c r="E9" s="2951"/>
      <c r="F9" s="2951"/>
      <c r="G9" s="2951"/>
      <c r="H9" s="2951"/>
      <c r="I9" s="2978"/>
      <c r="J9" s="2948"/>
      <c r="K9" s="2055"/>
      <c r="L9" s="2056"/>
      <c r="P9" s="2949"/>
      <c r="Q9" s="2949"/>
      <c r="R9" s="1048"/>
      <c r="S9" s="1970"/>
      <c r="T9" s="979" t="s">
        <v>560</v>
      </c>
      <c r="U9" s="1059"/>
      <c r="V9" s="1059"/>
      <c r="W9" s="1059"/>
      <c r="X9" s="1059"/>
      <c r="Y9" s="1059"/>
      <c r="Z9" s="1059"/>
      <c r="AA9" s="1059"/>
      <c r="AB9" s="1059"/>
      <c r="AC9" s="1059"/>
      <c r="AD9" s="1059"/>
      <c r="AE9" s="1059"/>
      <c r="AF9" s="1059"/>
      <c r="AG9" s="1059"/>
      <c r="AH9" s="1059"/>
      <c r="AI9" s="1059"/>
      <c r="AJ9" s="1059"/>
      <c r="AK9" s="1950" t="s">
        <v>561</v>
      </c>
      <c r="AM9" s="1192"/>
      <c r="AN9" s="1192" t="str">
        <f>IF(T9="","",T9)</f>
        <v>Добавить значение признака дифференциации</v>
      </c>
      <c r="AO9" s="1192"/>
      <c r="AP9" s="1192"/>
      <c r="AQ9" s="1847">
        <v>0</v>
      </c>
    </row>
    <row customHeight="1" ht="21" hidden="1">
      <c r="A10" s="2055"/>
      <c r="B10" s="2055"/>
      <c r="C10" s="2055"/>
      <c r="D10" s="2055"/>
      <c r="E10" s="2951"/>
      <c r="F10" s="2951"/>
      <c r="G10" s="2951"/>
      <c r="H10" s="2951"/>
      <c r="I10" s="2948"/>
      <c r="J10" s="2055"/>
      <c r="K10" s="2055"/>
      <c r="L10" s="2056"/>
      <c r="P10" s="2949"/>
      <c r="Q10" s="2173"/>
      <c r="R10" s="1048"/>
      <c r="S10" s="1970"/>
      <c r="T10" s="1057" t="s">
        <v>487</v>
      </c>
      <c r="U10" s="1059"/>
      <c r="V10" s="1059"/>
      <c r="W10" s="1059"/>
      <c r="X10" s="1059"/>
      <c r="Y10" s="1059"/>
      <c r="Z10" s="1059"/>
      <c r="AA10" s="1059"/>
      <c r="AB10" s="1058"/>
      <c r="AC10" s="1059"/>
      <c r="AD10" s="1059"/>
      <c r="AE10" s="1059"/>
      <c r="AF10" s="1059"/>
      <c r="AG10" s="1059"/>
      <c r="AH10" s="1059"/>
      <c r="AI10" s="1058"/>
      <c r="AJ10" s="1059"/>
      <c r="AK10" s="2132"/>
      <c r="AM10" s="1192"/>
      <c r="AN10" s="1192" t="str">
        <f>IF(T10="","",T10)</f>
        <v>Добавить группу потребителей</v>
      </c>
      <c r="AO10" s="1192"/>
      <c r="AP10" s="1192"/>
      <c r="AQ10" s="1847">
        <v>0</v>
      </c>
    </row>
    <row customHeight="1" ht="21" hidden="1">
      <c r="A11" s="2055"/>
      <c r="B11" s="2055"/>
      <c r="C11" s="2055"/>
      <c r="D11" s="2055"/>
      <c r="E11" s="2951"/>
      <c r="F11" s="2951"/>
      <c r="G11" s="2951"/>
      <c r="H11" s="2950"/>
      <c r="I11" s="2055"/>
      <c r="J11" s="2055"/>
      <c r="K11" s="2055"/>
      <c r="L11" s="2056"/>
      <c r="M11" s="2057"/>
      <c r="N11" s="2057"/>
      <c r="O11" s="1229"/>
      <c r="P11" s="1052"/>
      <c r="Q11" s="1067"/>
      <c r="R11" s="1047"/>
      <c r="S11" s="1970"/>
      <c r="T11" s="1064" t="s">
        <v>562</v>
      </c>
      <c r="U11" s="1059"/>
      <c r="V11" s="1059"/>
      <c r="W11" s="1059"/>
      <c r="X11" s="1059"/>
      <c r="Y11" s="1059"/>
      <c r="Z11" s="1059"/>
      <c r="AA11" s="1059"/>
      <c r="AB11" s="1058"/>
      <c r="AC11" s="1059"/>
      <c r="AD11" s="1059"/>
      <c r="AE11" s="1059"/>
      <c r="AF11" s="1059"/>
      <c r="AG11" s="1059"/>
      <c r="AH11" s="1059"/>
      <c r="AI11" s="1058"/>
      <c r="AJ11" s="1059"/>
      <c r="AK11" s="995"/>
      <c r="AM11" s="1192"/>
      <c r="AN11" s="1192" t="str">
        <f>IF(T11="","",T11)</f>
        <v>Добавить наименование признака дифференциации</v>
      </c>
      <c r="AO11" s="1192"/>
      <c r="AP11" s="1192"/>
      <c r="AQ11" s="1847">
        <v>0</v>
      </c>
    </row>
    <row s="61695" customFormat="1" customHeight="1" ht="14.25" hidden="1">
      <c r="A12" s="2035"/>
      <c r="B12" s="2035"/>
      <c r="C12" s="2006"/>
      <c r="D12" s="2006"/>
      <c r="E12" s="2951"/>
      <c r="F12" s="2950"/>
      <c r="G12" s="2006"/>
      <c r="H12" s="2006"/>
      <c r="I12" s="2006"/>
      <c r="J12" s="2006"/>
      <c r="K12" s="2006"/>
      <c r="L12" s="2186"/>
      <c r="M12" s="2013"/>
      <c r="N12" s="2013"/>
      <c r="P12" s="2008"/>
      <c r="Q12" s="2009"/>
      <c r="R12" s="2008"/>
      <c r="S12" s="2014"/>
      <c r="T12" s="2017" t="s">
        <v>172</v>
      </c>
      <c r="U12" s="2016"/>
      <c r="V12" s="2016"/>
      <c r="W12" s="2016"/>
      <c r="X12" s="2016"/>
      <c r="Y12" s="2016"/>
      <c r="Z12" s="2016"/>
      <c r="AA12" s="2016"/>
      <c r="AB12" s="2016"/>
      <c r="AC12" s="2016"/>
      <c r="AD12" s="2016"/>
      <c r="AE12" s="2016"/>
      <c r="AF12" s="2016"/>
      <c r="AG12" s="2016"/>
      <c r="AH12" s="2016"/>
      <c r="AI12" s="2016"/>
      <c r="AJ12" s="2016"/>
      <c r="AK12" s="2016"/>
      <c r="AM12" s="1481"/>
      <c r="AN12" s="1481" t="str">
        <f>IF(T12="","",T12)</f>
        <v>Добавить централизованную систему для дифференциации</v>
      </c>
      <c r="AO12" s="1481"/>
      <c r="AP12" s="1481"/>
      <c r="AQ12" s="1210">
        <v>0</v>
      </c>
    </row>
    <row s="61695" customFormat="1" customHeight="1" ht="14.25" hidden="1">
      <c r="A13" s="2035"/>
      <c r="B13" s="2035"/>
      <c r="C13" s="2035"/>
      <c r="D13" s="2035"/>
      <c r="E13" s="2950"/>
      <c r="F13" s="2035"/>
      <c r="G13" s="2035"/>
      <c r="H13" s="2035"/>
      <c r="I13" s="2035"/>
      <c r="J13" s="2035"/>
      <c r="K13" s="2035"/>
      <c r="L13" s="2038"/>
      <c r="M13" s="2013"/>
      <c r="N13" s="2013"/>
      <c r="O13" s="1210"/>
      <c r="P13" s="1072"/>
      <c r="Q13" s="2036"/>
      <c r="R13" s="1072"/>
      <c r="S13" s="2014"/>
      <c r="T13" s="2017" t="s">
        <v>173</v>
      </c>
      <c r="U13" s="2016"/>
      <c r="V13" s="2016"/>
      <c r="W13" s="2016"/>
      <c r="X13" s="2016"/>
      <c r="Y13" s="2016"/>
      <c r="Z13" s="2016"/>
      <c r="AA13" s="2016"/>
      <c r="AB13" s="2016"/>
      <c r="AC13" s="2016"/>
      <c r="AD13" s="2016"/>
      <c r="AE13" s="2016"/>
      <c r="AF13" s="2016"/>
      <c r="AG13" s="2016"/>
      <c r="AH13" s="2016"/>
      <c r="AI13" s="2016"/>
      <c r="AJ13" s="2016"/>
      <c r="AK13" s="2016"/>
      <c r="AM13" s="1192"/>
      <c r="AN13" s="1192" t="str">
        <f>IF(T13="","",T13)</f>
        <v>Добавить территорию для дифференциации</v>
      </c>
      <c r="AO13" s="1192"/>
      <c r="AP13" s="1192"/>
      <c r="AQ13" s="1203">
        <v>0</v>
      </c>
    </row>
    <row customHeight="1" ht="14.25" hidden="1">
      <c r="AB14" s="1019"/>
      <c r="AI14" s="1019"/>
      <c r="AQ14" s="1847">
        <v>0</v>
      </c>
    </row>
    <row customHeight="1" ht="14.25" hidden="1">
      <c r="AC15" s="2052"/>
      <c r="AD15" s="2052"/>
      <c r="AE15" s="2053"/>
      <c r="AF15" s="2959"/>
      <c r="AG15" s="2960" t="s">
        <v>67</v>
      </c>
      <c r="AH15" s="2959"/>
      <c r="AI15" s="2960" t="s">
        <v>67</v>
      </c>
      <c r="AQ15" s="1847">
        <v>0</v>
      </c>
    </row>
    <row customHeight="1" ht="14.25" hidden="1">
      <c r="AC16" s="2052"/>
      <c r="AD16" s="2052"/>
      <c r="AE16" s="1020" t="str">
        <f>AF15&amp;"-"&amp;AH15</f>
        <v>-</v>
      </c>
      <c r="AF16" s="2960"/>
      <c r="AG16" s="2960"/>
      <c r="AH16" s="2960"/>
      <c r="AI16" s="2960"/>
      <c r="AQ16" s="1847">
        <v>0</v>
      </c>
    </row>
    <row customHeight="1" ht="14.25" hidden="1">
      <c r="AI17" s="1019"/>
      <c r="AQ17" s="1847">
        <v>0</v>
      </c>
    </row>
    <row s="62148" customFormat="1" customHeight="1" ht="22.5" hidden="1">
      <c r="L18" s="2170"/>
      <c r="M18" s="2054"/>
      <c r="N18" s="2054"/>
      <c r="O18" s="2059" t="s">
        <v>489</v>
      </c>
      <c r="P18" s="2054"/>
      <c r="Q18" s="2063"/>
      <c r="R18" s="2063"/>
      <c r="S18" s="1421"/>
      <c r="Y18" s="2059"/>
      <c r="AA18" s="2059"/>
      <c r="AB18" s="2058"/>
      <c r="AF18" s="2059"/>
      <c r="AH18" s="2059"/>
      <c r="AI18" s="2058"/>
      <c r="AL18" s="1203"/>
      <c r="AM18" s="1203"/>
      <c r="AN18" s="1203"/>
      <c r="AO18" s="1203"/>
      <c r="AP18" s="1203"/>
      <c r="AQ18" s="1852">
        <v>0</v>
      </c>
    </row>
    <row s="62148" customFormat="1" customHeight="1" ht="14.25" hidden="1">
      <c r="L19" s="2170"/>
      <c r="M19" s="2054"/>
      <c r="N19" s="2054"/>
      <c r="O19" s="2054"/>
      <c r="P19" s="2054"/>
      <c r="Q19" s="2063"/>
      <c r="R19" s="2063"/>
      <c r="S19" s="1421"/>
      <c r="AB19" s="2058"/>
      <c r="AI19" s="2058"/>
      <c r="AL19" s="1203"/>
      <c r="AM19" s="1203"/>
      <c r="AN19" s="1203"/>
      <c r="AO19" s="1203"/>
      <c r="AP19" s="1203"/>
      <c r="AQ19" s="1852">
        <v>0</v>
      </c>
    </row>
    <row s="62148" customFormat="1" customHeight="1" ht="12" hidden="1">
      <c r="L20" s="2170"/>
      <c r="M20" s="2054"/>
      <c r="N20" s="2054"/>
      <c r="O20" s="2056" t="s">
        <v>490</v>
      </c>
      <c r="P20" s="2054"/>
      <c r="Q20" s="2134"/>
      <c r="R20" s="2134"/>
      <c r="S20" s="1421"/>
      <c r="T20" s="1852" t="s">
        <v>491</v>
      </c>
      <c r="Z20" s="878" t="s">
        <v>492</v>
      </c>
      <c r="AB20" s="878" t="s">
        <v>493</v>
      </c>
      <c r="AC20" s="1852" t="s">
        <v>491</v>
      </c>
      <c r="AG20" s="878" t="s">
        <v>494</v>
      </c>
      <c r="AI20" s="878" t="s">
        <v>493</v>
      </c>
      <c r="AQ20" s="1852">
        <v>0</v>
      </c>
    </row>
    <row customHeight="1" ht="14.25" hidden="1">
      <c r="O21" s="2056"/>
      <c r="AQ21" s="1847">
        <v>0</v>
      </c>
    </row>
    <row customHeight="1" ht="14.25" hidden="1">
      <c r="O22" s="2056"/>
      <c r="AQ22" s="1847">
        <v>0</v>
      </c>
    </row>
    <row customHeight="1" ht="14.699999999999998">
      <c r="Q23" s="1068"/>
      <c r="R23" s="1068"/>
      <c r="S23" s="1967"/>
      <c r="T23" s="1055"/>
      <c r="U23" s="1055"/>
      <c r="V23" s="1201"/>
      <c r="W23" s="1201"/>
      <c r="X23" s="1201"/>
      <c r="Y23" s="1201"/>
      <c r="Z23" s="1201"/>
      <c r="AA23" s="1201"/>
      <c r="AB23" s="1201"/>
      <c r="AC23" s="1201"/>
      <c r="AD23" s="1201"/>
      <c r="AE23" s="1201"/>
      <c r="AF23" s="1201"/>
      <c r="AG23" s="1201"/>
      <c r="AH23" s="1201"/>
      <c r="AI23" s="1201"/>
      <c r="AQ23" s="1847">
        <v>14</v>
      </c>
    </row>
    <row customHeight="1" ht="14.699999999999998">
      <c r="Q24" s="1068"/>
      <c r="R24" s="1068"/>
      <c r="S24" s="294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40"/>
      <c r="U24" s="2940"/>
      <c r="V24" s="2940"/>
      <c r="W24" s="2940"/>
      <c r="X24" s="2940"/>
      <c r="Y24" s="2940"/>
      <c r="Z24" s="2940"/>
      <c r="AA24" s="2940"/>
      <c r="AB24" s="2940"/>
      <c r="AC24" s="2940"/>
      <c r="AD24" s="2940"/>
      <c r="AE24" s="2940"/>
      <c r="AF24" s="2940"/>
      <c r="AG24" s="2940"/>
      <c r="AH24" s="2940"/>
      <c r="AI24" s="1935"/>
      <c r="AQ24" s="1847">
        <v>14</v>
      </c>
    </row>
    <row customHeight="1" ht="14.699999999999998">
      <c r="Q25" s="1068"/>
      <c r="R25" s="1068"/>
      <c r="S25" s="2941" t="str">
        <f>IF(org=0,"Не определено",org)</f>
        <v>АО "ДГК"</v>
      </c>
      <c r="T25" s="2941"/>
      <c r="U25" s="2941"/>
      <c r="V25" s="2941"/>
      <c r="W25" s="2941"/>
      <c r="X25" s="2941"/>
      <c r="Y25" s="2941"/>
      <c r="Z25" s="2941"/>
      <c r="AA25" s="2941"/>
      <c r="AB25" s="2941"/>
      <c r="AC25" s="2941"/>
      <c r="AD25" s="2941"/>
      <c r="AE25" s="2941"/>
      <c r="AF25" s="2941"/>
      <c r="AG25" s="2941"/>
      <c r="AH25" s="2941"/>
      <c r="AI25" s="1935"/>
      <c r="AQ25" s="1847">
        <v>14</v>
      </c>
    </row>
    <row customHeight="1" ht="14.25" hidden="1">
      <c r="Q26" s="1068"/>
      <c r="R26" s="1068"/>
      <c r="S26" s="1967"/>
      <c r="T26" s="1055"/>
      <c r="U26" s="1055"/>
      <c r="V26" s="1014"/>
      <c r="W26" s="1014"/>
      <c r="X26" s="1014"/>
      <c r="Y26" s="1014"/>
      <c r="Z26" s="1014"/>
      <c r="AA26" s="1014"/>
      <c r="AB26" s="1014"/>
      <c r="AC26" s="1014"/>
      <c r="AD26" s="1014"/>
      <c r="AE26" s="1014"/>
      <c r="AF26" s="1014"/>
      <c r="AG26" s="1014"/>
      <c r="AH26" s="1014"/>
      <c r="AI26" s="1014"/>
      <c r="AJ26" s="1201"/>
      <c r="AQ26" s="1847">
        <v>0</v>
      </c>
    </row>
    <row s="63055" customFormat="1" customHeight="1" ht="25.5" hidden="1">
      <c r="A27" s="2060"/>
      <c r="B27" s="2060"/>
      <c r="C27" s="2060"/>
      <c r="D27" s="2060"/>
      <c r="E27" s="2060"/>
      <c r="F27" s="2060"/>
      <c r="G27" s="2060"/>
      <c r="H27" s="2060"/>
      <c r="I27" s="2060"/>
      <c r="J27" s="2060"/>
      <c r="K27" s="2060"/>
      <c r="L27" s="2061"/>
      <c r="M27" s="2060"/>
      <c r="N27" s="2060"/>
      <c r="O27" s="2060"/>
      <c r="S27" s="2942" t="s">
        <v>42</v>
      </c>
      <c r="T27" s="2942"/>
      <c r="U27" s="2064"/>
      <c r="V27" s="2943" t="str">
        <f>IF(TITLE_NAME_OR_PR_CHANGE="",IF(TITLE_NAME_OR_PR="","",TITLE_NAME_OR_PR),TITLE_NAME_OR_PR_CHANGE)</f>
        <v/>
      </c>
      <c r="W27" s="2943"/>
      <c r="X27" s="2943"/>
      <c r="Y27" s="2943"/>
      <c r="Z27" s="2943"/>
      <c r="AA27" s="2943"/>
      <c r="AB27" s="1018"/>
      <c r="AC27" s="2943" t="str">
        <f>IF(TITLE_NAME_OR_PR_CHANGE="",IF(TITLE_NAME_OR_PR="","",TITLE_NAME_OR_PR),TITLE_NAME_OR_PR_CHANGE)</f>
        <v/>
      </c>
      <c r="AD27" s="2943"/>
      <c r="AE27" s="2943"/>
      <c r="AF27" s="2943"/>
      <c r="AG27" s="2943"/>
      <c r="AH27" s="2943"/>
      <c r="AI27" s="1018"/>
      <c r="AJ27" s="1018"/>
      <c r="AK27" s="972"/>
      <c r="AL27" s="1060"/>
      <c r="AM27" s="1060"/>
      <c r="AN27" s="1060"/>
      <c r="AO27" s="1060"/>
      <c r="AP27" s="1060"/>
      <c r="AQ27" s="1110">
        <v>0</v>
      </c>
    </row>
    <row s="63055" customFormat="1" customHeight="1" ht="18.75" hidden="1">
      <c r="A28" s="2060"/>
      <c r="B28" s="2060"/>
      <c r="C28" s="2060"/>
      <c r="D28" s="2060"/>
      <c r="E28" s="2060"/>
      <c r="F28" s="2060"/>
      <c r="G28" s="2060"/>
      <c r="H28" s="2060"/>
      <c r="I28" s="2060"/>
      <c r="J28" s="2060"/>
      <c r="K28" s="2060"/>
      <c r="L28" s="2061"/>
      <c r="M28" s="2060"/>
      <c r="N28" s="2060"/>
      <c r="O28" s="2060"/>
      <c r="S28" s="2942" t="s">
        <v>495</v>
      </c>
      <c r="T28" s="2942"/>
      <c r="U28" s="2064"/>
      <c r="V28" s="2956" t="str">
        <f>IF(TITLE_DATE_PR_CHANGE="",IF(TITLE_DATE_PR="","",TITLE_DATE_PR),TITLE_DATE_PR_CHANGE)</f>
        <v>45981</v>
      </c>
      <c r="W28" s="2956"/>
      <c r="X28" s="2956"/>
      <c r="Y28" s="2956"/>
      <c r="Z28" s="2956"/>
      <c r="AA28" s="2956"/>
      <c r="AB28" s="1018"/>
      <c r="AC28" s="2956" t="str">
        <f>IF(TITLE_DATE_PR_CHANGE="",IF(TITLE_DATE_PR="","",TITLE_DATE_PR),TITLE_DATE_PR_CHANGE)</f>
        <v>45981</v>
      </c>
      <c r="AD28" s="2956"/>
      <c r="AE28" s="2956"/>
      <c r="AF28" s="2956"/>
      <c r="AG28" s="2956"/>
      <c r="AH28" s="2956"/>
      <c r="AI28" s="1018"/>
      <c r="AJ28" s="1018"/>
      <c r="AK28" s="972"/>
      <c r="AL28" s="1060"/>
      <c r="AM28" s="1060"/>
      <c r="AN28" s="1060"/>
      <c r="AO28" s="1060"/>
      <c r="AP28" s="1060"/>
      <c r="AQ28" s="1110">
        <v>0</v>
      </c>
    </row>
    <row s="63055" customFormat="1" customHeight="1" ht="18.75" hidden="1">
      <c r="A29" s="2060"/>
      <c r="B29" s="2060"/>
      <c r="C29" s="2060"/>
      <c r="D29" s="2060"/>
      <c r="E29" s="2060"/>
      <c r="F29" s="2060"/>
      <c r="G29" s="2060"/>
      <c r="H29" s="2060"/>
      <c r="I29" s="2060"/>
      <c r="J29" s="2060"/>
      <c r="K29" s="2060"/>
      <c r="L29" s="2061"/>
      <c r="M29" s="2060"/>
      <c r="N29" s="2060"/>
      <c r="O29" s="2060"/>
      <c r="S29" s="2942" t="s">
        <v>496</v>
      </c>
      <c r="T29" s="2942"/>
      <c r="U29" s="2064"/>
      <c r="V29" s="2943" t="str">
        <f>IF(TITLE_NUMBER_PR_CHANGE="",IF(TITLE_NUMBER_PR="","",TITLE_NUMBER_PR),TITLE_NUMBER_PR_CHANGE)</f>
        <v>Исх-260/1781</v>
      </c>
      <c r="W29" s="2943"/>
      <c r="X29" s="2943"/>
      <c r="Y29" s="2943"/>
      <c r="Z29" s="2943"/>
      <c r="AA29" s="2943"/>
      <c r="AB29" s="1018"/>
      <c r="AC29" s="2943" t="str">
        <f>IF(TITLE_NUMBER_PR_CHANGE="",IF(TITLE_NUMBER_PR="","",TITLE_NUMBER_PR),TITLE_NUMBER_PR_CHANGE)</f>
        <v>Исх-260/1781</v>
      </c>
      <c r="AD29" s="2943"/>
      <c r="AE29" s="2943"/>
      <c r="AF29" s="2943"/>
      <c r="AG29" s="2943"/>
      <c r="AH29" s="2943"/>
      <c r="AI29" s="1018"/>
      <c r="AJ29" s="1018"/>
      <c r="AK29" s="972"/>
      <c r="AL29" s="1060"/>
      <c r="AM29" s="1060"/>
      <c r="AN29" s="1060"/>
      <c r="AO29" s="1060"/>
      <c r="AP29" s="1060"/>
      <c r="AQ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43</v>
      </c>
      <c r="T30" s="2942"/>
      <c r="U30" s="2064"/>
      <c r="V30" s="2943" t="str">
        <f>IF(TITLE_IST_PUB_CHANGE="",IF(TITLE_IST_PUB="","",TITLE_IST_PUB),TITLE_IST_PUB_CHANGE)</f>
        <v/>
      </c>
      <c r="W30" s="2943"/>
      <c r="X30" s="2943"/>
      <c r="Y30" s="2943"/>
      <c r="Z30" s="2943"/>
      <c r="AA30" s="2943"/>
      <c r="AB30" s="1018"/>
      <c r="AC30" s="2943" t="str">
        <f>IF(TITLE_IST_PUB_CHANGE="",IF(TITLE_IST_PUB="","",TITLE_IST_PUB),TITLE_IST_PUB_CHANGE)</f>
        <v/>
      </c>
      <c r="AD30" s="2943"/>
      <c r="AE30" s="2943"/>
      <c r="AF30" s="2943"/>
      <c r="AG30" s="2943"/>
      <c r="AH30" s="2943"/>
      <c r="AI30" s="1018"/>
      <c r="AJ30" s="1018"/>
      <c r="AK30" s="972"/>
      <c r="AL30" s="1060"/>
      <c r="AM30" s="1060"/>
      <c r="AN30" s="1060"/>
      <c r="AO30" s="1060"/>
      <c r="AP30" s="1060"/>
      <c r="AQ30" s="1110">
        <v>0</v>
      </c>
    </row>
    <row customHeight="1" ht="14.25">
      <c r="Q31" s="1068"/>
      <c r="R31" s="1068"/>
      <c r="S31" s="1967"/>
      <c r="T31" s="1055"/>
      <c r="U31" s="1055"/>
      <c r="V31" s="1014"/>
      <c r="W31" s="1014"/>
      <c r="X31" s="1014"/>
      <c r="Y31" s="1014"/>
      <c r="Z31" s="1014"/>
      <c r="AA31" s="1014"/>
      <c r="AB31" s="1014"/>
      <c r="AC31" s="1014"/>
      <c r="AD31" s="1014"/>
      <c r="AE31" s="1014"/>
      <c r="AF31" s="1014"/>
      <c r="AG31" s="1014"/>
      <c r="AH31" s="1014"/>
      <c r="AI31" s="1014"/>
      <c r="AJ31" s="1201"/>
      <c r="AQ31" s="1847">
        <v>0</v>
      </c>
    </row>
    <row s="63055" customFormat="1" customHeight="1" ht="18.75">
      <c r="A32" s="2060"/>
      <c r="B32" s="2060"/>
      <c r="C32" s="2060"/>
      <c r="D32" s="2060"/>
      <c r="E32" s="2060"/>
      <c r="F32" s="2060"/>
      <c r="G32" s="2060"/>
      <c r="H32" s="2060"/>
      <c r="I32" s="2060"/>
      <c r="J32" s="2060"/>
      <c r="K32" s="2060"/>
      <c r="L32" s="2061"/>
      <c r="M32" s="2060"/>
      <c r="N32" s="2060"/>
      <c r="O32" s="2060"/>
      <c r="S32" s="2942" t="s">
        <v>497</v>
      </c>
      <c r="T32" s="2942"/>
      <c r="U32" s="2064"/>
      <c r="V32" s="2956" t="str">
        <f>IF(TITLE_DATE_PR_CHANGE="",IF(TITLE_DATE_PR="","",TITLE_DATE_PR),TITLE_DATE_PR_CHANGE)</f>
        <v>45981</v>
      </c>
      <c r="W32" s="2956"/>
      <c r="X32" s="2956"/>
      <c r="Y32" s="2956"/>
      <c r="Z32" s="2956"/>
      <c r="AA32" s="2956"/>
      <c r="AB32" s="1018"/>
      <c r="AC32" s="2956" t="str">
        <f>IF(TITLE_DATE_PR_CHANGE="",IF(TITLE_DATE_PR="","",TITLE_DATE_PR),TITLE_DATE_PR_CHANGE)</f>
        <v>45981</v>
      </c>
      <c r="AD32" s="2956"/>
      <c r="AE32" s="2956"/>
      <c r="AF32" s="2956"/>
      <c r="AG32" s="2956"/>
      <c r="AH32" s="2956"/>
      <c r="AI32" s="1018"/>
      <c r="AJ32" s="1018"/>
      <c r="AK32" s="972"/>
      <c r="AL32" s="1060"/>
      <c r="AM32" s="1060"/>
      <c r="AN32" s="1060"/>
      <c r="AO32" s="1060"/>
      <c r="AP32" s="1060"/>
      <c r="AQ32" s="1110">
        <v>0</v>
      </c>
    </row>
    <row s="63055" customFormat="1" customHeight="1" ht="18.75">
      <c r="A33" s="2060"/>
      <c r="B33" s="2060"/>
      <c r="C33" s="2060"/>
      <c r="D33" s="2060"/>
      <c r="E33" s="2060"/>
      <c r="F33" s="2060"/>
      <c r="G33" s="2060"/>
      <c r="H33" s="2060"/>
      <c r="I33" s="2060"/>
      <c r="J33" s="2060"/>
      <c r="K33" s="2060"/>
      <c r="L33" s="2061"/>
      <c r="M33" s="2060"/>
      <c r="N33" s="2060"/>
      <c r="O33" s="2060"/>
      <c r="S33" s="2942" t="s">
        <v>498</v>
      </c>
      <c r="T33" s="2942"/>
      <c r="U33" s="2064"/>
      <c r="V33" s="2943" t="str">
        <f>IF(TITLE_NUMBER_PR_CHANGE="",IF(TITLE_NUMBER_PR="","",TITLE_NUMBER_PR),TITLE_NUMBER_PR_CHANGE)</f>
        <v>Исх-260/1781</v>
      </c>
      <c r="W33" s="2943"/>
      <c r="X33" s="2943"/>
      <c r="Y33" s="2943"/>
      <c r="Z33" s="2943"/>
      <c r="AA33" s="2943"/>
      <c r="AB33" s="1018"/>
      <c r="AC33" s="2943" t="str">
        <f>IF(TITLE_NUMBER_PR_CHANGE="",IF(TITLE_NUMBER_PR="","",TITLE_NUMBER_PR),TITLE_NUMBER_PR_CHANGE)</f>
        <v>Исх-260/1781</v>
      </c>
      <c r="AD33" s="2943"/>
      <c r="AE33" s="2943"/>
      <c r="AF33" s="2943"/>
      <c r="AG33" s="2943"/>
      <c r="AH33" s="2943"/>
      <c r="AI33" s="1018"/>
      <c r="AJ33" s="1018"/>
      <c r="AK33" s="972"/>
      <c r="AL33" s="1060"/>
      <c r="AM33" s="1060"/>
      <c r="AN33" s="1060"/>
      <c r="AO33" s="1060"/>
      <c r="AP33" s="1060"/>
      <c r="AQ33" s="1110">
        <v>0</v>
      </c>
    </row>
    <row s="63055" customFormat="1" customHeight="1" ht="1.05">
      <c r="A34" s="2060"/>
      <c r="B34" s="2060"/>
      <c r="C34" s="2060"/>
      <c r="D34" s="2060"/>
      <c r="E34" s="2060"/>
      <c r="F34" s="2060"/>
      <c r="G34" s="2060"/>
      <c r="H34" s="2060"/>
      <c r="I34" s="2060"/>
      <c r="J34" s="2060"/>
      <c r="K34" s="2060"/>
      <c r="L34" s="2061"/>
      <c r="M34" s="2060"/>
      <c r="N34" s="2060"/>
      <c r="O34" s="2060"/>
      <c r="S34" s="1015"/>
      <c r="T34" s="1015"/>
      <c r="U34" s="2180"/>
      <c r="V34" s="1018"/>
      <c r="W34" s="1018"/>
      <c r="X34" s="1018"/>
      <c r="Y34" s="1018"/>
      <c r="Z34" s="1018"/>
      <c r="AA34" s="1018"/>
      <c r="AB34" s="970" t="s">
        <v>499</v>
      </c>
      <c r="AC34" s="1018"/>
      <c r="AD34" s="1018"/>
      <c r="AE34" s="1018"/>
      <c r="AF34" s="1018"/>
      <c r="AG34" s="1018"/>
      <c r="AH34" s="1018"/>
      <c r="AI34" s="970" t="s">
        <v>499</v>
      </c>
      <c r="AL34" s="1060"/>
      <c r="AM34" s="1060"/>
      <c r="AN34" s="1060"/>
      <c r="AO34" s="1060"/>
      <c r="AP34" s="1060"/>
      <c r="AQ34" s="1110">
        <v>1</v>
      </c>
    </row>
    <row customHeight="1" ht="14.699999999999998">
      <c r="Q35" s="1068"/>
      <c r="R35" s="1068"/>
      <c r="S35" s="1967"/>
      <c r="T35" s="1055"/>
      <c r="U35" s="1936"/>
      <c r="V35" s="2944"/>
      <c r="W35" s="2944"/>
      <c r="X35" s="2944"/>
      <c r="Y35" s="2944"/>
      <c r="Z35" s="2944"/>
      <c r="AA35" s="2944"/>
      <c r="AB35" s="2944"/>
      <c r="AC35" s="2944"/>
      <c r="AD35" s="2944"/>
      <c r="AE35" s="2944"/>
      <c r="AF35" s="2944"/>
      <c r="AG35" s="2944"/>
      <c r="AH35" s="2944"/>
      <c r="AI35" s="2944"/>
      <c r="AQ35" s="1847">
        <v>14</v>
      </c>
    </row>
    <row customHeight="1" ht="14.699999999999998">
      <c r="Q36" s="1068"/>
      <c r="R36" s="1068"/>
      <c r="S36" s="2819" t="s">
        <v>375</v>
      </c>
      <c r="T36" s="2819"/>
      <c r="U36" s="2819"/>
      <c r="V36" s="2819"/>
      <c r="W36" s="2819"/>
      <c r="X36" s="2819"/>
      <c r="Y36" s="2819"/>
      <c r="Z36" s="2819"/>
      <c r="AA36" s="2819"/>
      <c r="AB36" s="2819"/>
      <c r="AC36" s="2819"/>
      <c r="AD36" s="2819"/>
      <c r="AE36" s="2819"/>
      <c r="AF36" s="2819"/>
      <c r="AG36" s="2819"/>
      <c r="AH36" s="2819"/>
      <c r="AI36" s="2819"/>
      <c r="AJ36" s="2819"/>
      <c r="AK36" s="2819" t="s">
        <v>376</v>
      </c>
      <c r="AQ36" s="1847">
        <v>14</v>
      </c>
    </row>
    <row customHeight="1" ht="14.699999999999998">
      <c r="Q37" s="1068"/>
      <c r="R37" s="1068"/>
      <c r="S37" s="2965" t="s">
        <v>89</v>
      </c>
      <c r="T37" s="2901" t="s">
        <v>500</v>
      </c>
      <c r="U37" s="993"/>
      <c r="V37" s="2966" t="s">
        <v>501</v>
      </c>
      <c r="W37" s="2967"/>
      <c r="X37" s="2967"/>
      <c r="Y37" s="2967"/>
      <c r="Z37" s="2967"/>
      <c r="AA37" s="2968"/>
      <c r="AB37" s="2969" t="s">
        <v>502</v>
      </c>
      <c r="AC37" s="2966" t="s">
        <v>501</v>
      </c>
      <c r="AD37" s="2967"/>
      <c r="AE37" s="2967"/>
      <c r="AF37" s="2967"/>
      <c r="AG37" s="2967"/>
      <c r="AH37" s="2968"/>
      <c r="AI37" s="2969" t="s">
        <v>503</v>
      </c>
      <c r="AJ37" s="2972" t="s">
        <v>504</v>
      </c>
      <c r="AK37" s="2819"/>
      <c r="AQ37" s="1847">
        <v>14</v>
      </c>
    </row>
    <row customHeight="1" ht="35.699999999999996">
      <c r="Q38" s="1068"/>
      <c r="R38" s="1068"/>
      <c r="S38" s="2965"/>
      <c r="T38" s="2901"/>
      <c r="U38" s="1723"/>
      <c r="V38" s="2175" t="s">
        <v>563</v>
      </c>
      <c r="W38" s="2954" t="s">
        <v>507</v>
      </c>
      <c r="X38" s="2955"/>
      <c r="Y38" s="2954" t="s">
        <v>508</v>
      </c>
      <c r="Z38" s="2961"/>
      <c r="AA38" s="2955"/>
      <c r="AB38" s="2970"/>
      <c r="AC38" s="2175" t="s">
        <v>563</v>
      </c>
      <c r="AD38" s="2954" t="s">
        <v>507</v>
      </c>
      <c r="AE38" s="2955"/>
      <c r="AF38" s="2954" t="s">
        <v>508</v>
      </c>
      <c r="AG38" s="2961"/>
      <c r="AH38" s="2955"/>
      <c r="AI38" s="2970"/>
      <c r="AJ38" s="2973"/>
      <c r="AK38" s="2819"/>
      <c r="AQ38" s="1847">
        <v>34</v>
      </c>
    </row>
    <row customHeight="1" ht="90.3">
      <c r="A39" s="2062"/>
      <c r="B39" s="2062" t="s">
        <v>143</v>
      </c>
      <c r="C39" s="2062" t="s">
        <v>144</v>
      </c>
      <c r="D39" s="2062" t="s">
        <v>145</v>
      </c>
      <c r="E39" s="2056" t="s">
        <v>509</v>
      </c>
      <c r="F39" s="2056" t="s">
        <v>510</v>
      </c>
      <c r="G39" s="2056" t="s">
        <v>511</v>
      </c>
      <c r="H39" s="2056"/>
      <c r="I39" s="2056" t="s">
        <v>564</v>
      </c>
      <c r="J39" s="2056" t="s">
        <v>514</v>
      </c>
      <c r="K39" s="2056" t="s">
        <v>565</v>
      </c>
      <c r="L39" s="2056" t="s">
        <v>490</v>
      </c>
      <c r="Q39" s="1068"/>
      <c r="R39" s="1068"/>
      <c r="S39" s="2965"/>
      <c r="T39" s="2901"/>
      <c r="U39" s="994"/>
      <c r="V39" s="2175" t="s">
        <v>592</v>
      </c>
      <c r="W39" s="1914" t="s">
        <v>593</v>
      </c>
      <c r="X39" s="1914" t="s">
        <v>568</v>
      </c>
      <c r="Y39" s="2181" t="s">
        <v>518</v>
      </c>
      <c r="Z39" s="2962" t="s">
        <v>519</v>
      </c>
      <c r="AA39" s="2963"/>
      <c r="AB39" s="2971"/>
      <c r="AC39" s="2175" t="s">
        <v>592</v>
      </c>
      <c r="AD39" s="1914" t="s">
        <v>593</v>
      </c>
      <c r="AE39" s="1914" t="s">
        <v>568</v>
      </c>
      <c r="AF39" s="2181" t="s">
        <v>518</v>
      </c>
      <c r="AG39" s="2962" t="s">
        <v>519</v>
      </c>
      <c r="AH39" s="2963"/>
      <c r="AI39" s="2971"/>
      <c r="AJ39" s="2974"/>
      <c r="AK39" s="2819"/>
      <c r="AQ39" s="1847">
        <v>86</v>
      </c>
    </row>
    <row s="61193" customFormat="1" customHeight="1" ht="0">
      <c r="A40" s="2062"/>
      <c r="B40" s="2062"/>
      <c r="C40" s="2062"/>
      <c r="D40" s="2062"/>
      <c r="E40" s="2062"/>
      <c r="F40" s="2062"/>
      <c r="G40" s="2062"/>
      <c r="H40" s="2062"/>
      <c r="I40" s="2062"/>
      <c r="J40" s="2062"/>
      <c r="K40" s="2062"/>
      <c r="L40" s="2056"/>
      <c r="M40" s="2054"/>
      <c r="N40" s="2054"/>
      <c r="O40" s="2054"/>
      <c r="P40" s="1938"/>
      <c r="Q40" s="1939"/>
      <c r="R40" s="1946">
        <v>1</v>
      </c>
      <c r="S40" s="1969" t="s">
        <v>118</v>
      </c>
      <c r="T40" s="1947" t="s">
        <v>103</v>
      </c>
      <c r="U40" s="1937" t="str">
        <f>OFFSET(U40,0,-1)</f>
        <v>2</v>
      </c>
      <c r="V40" s="2174">
        <f>OFFSET(V40,0,-1)+1</f>
        <v>3</v>
      </c>
      <c r="W40" s="2174">
        <f>OFFSET(W40,0,-1)+1</f>
        <v>4</v>
      </c>
      <c r="X40" s="2174">
        <f>OFFSET(X40,0,-1)+1</f>
        <v>5</v>
      </c>
      <c r="Y40" s="2174">
        <f>OFFSET(Y40,0,-1)+1</f>
        <v>6</v>
      </c>
      <c r="Z40" s="2964">
        <f>OFFSET(Z40,0,-1)+1</f>
        <v>7</v>
      </c>
      <c r="AA40" s="2964"/>
      <c r="AB40" s="2174">
        <f>OFFSET(AB40,0,-2)+1</f>
        <v>8</v>
      </c>
      <c r="AC40" s="2174">
        <f>OFFSET(AC40,0,-1)+1</f>
        <v>9</v>
      </c>
      <c r="AD40" s="2174">
        <f>OFFSET(AD40,0,-1)+1</f>
        <v>10</v>
      </c>
      <c r="AE40" s="2174">
        <f>OFFSET(AE40,0,-1)+1</f>
        <v>11</v>
      </c>
      <c r="AF40" s="2174">
        <f>OFFSET(AF40,0,-1)+1</f>
        <v>12</v>
      </c>
      <c r="AG40" s="2964">
        <f>OFFSET(AG40,0,-1)+1</f>
        <v>13</v>
      </c>
      <c r="AH40" s="2964"/>
      <c r="AI40" s="2174">
        <f>OFFSET(AI40,0,-2)+1</f>
        <v>14</v>
      </c>
      <c r="AJ40" s="1937">
        <f>OFFSET(AJ40,0,-1)</f>
        <v>14</v>
      </c>
      <c r="AK40" s="2174">
        <f>OFFSET(AK40,0,-1)+1</f>
        <v>15</v>
      </c>
      <c r="AL40" s="1203"/>
      <c r="AM40" s="1203"/>
      <c r="AN40" s="1203"/>
      <c r="AO40" s="1203"/>
      <c r="AP40" s="1203"/>
      <c r="AQ40" s="1188">
        <v>0</v>
      </c>
    </row>
    <row customHeight="1" ht="24">
      <c r="A41" s="2055" t="s">
        <v>346</v>
      </c>
      <c r="B41" s="2055"/>
      <c r="C41" s="2055"/>
      <c r="D41" s="2055"/>
      <c r="E41" s="2950">
        <v>1</v>
      </c>
      <c r="F41" s="2055"/>
      <c r="G41" s="2055"/>
      <c r="H41" s="2055"/>
      <c r="I41" s="2055"/>
      <c r="J41" s="2055"/>
      <c r="K41" s="2055"/>
      <c r="L41" s="2056"/>
      <c r="M41" s="2057"/>
      <c r="N41" s="2057"/>
      <c r="O41" s="2057"/>
      <c r="P41" s="1053"/>
      <c r="Q41" s="1052"/>
      <c r="R41" s="1047"/>
      <c r="S41" s="2185">
        <f>INDEX(PT_DIFFERENTIATION_NUM_NTAR,MATCH(A41,PT_DIFFERENTIATION_NTAR_ID,0))</f>
        <v>0</v>
      </c>
      <c r="T41" s="990" t="s">
        <v>131</v>
      </c>
      <c r="U41" s="992"/>
      <c r="V41" s="2934"/>
      <c r="W41" s="2935"/>
      <c r="X41" s="2935"/>
      <c r="Y41" s="2935"/>
      <c r="Z41" s="2935"/>
      <c r="AA41" s="2935"/>
      <c r="AB41" s="2936"/>
      <c r="AC41" s="2934" t="str">
        <f>INDEX(PT_DIFFERENTIATION_NTAR,MATCH(A41,PT_DIFFERENTIATION_NTAR_ID,0))</f>
        <v/>
      </c>
      <c r="AD41" s="2935"/>
      <c r="AE41" s="2935"/>
      <c r="AF41" s="2935"/>
      <c r="AG41" s="2935"/>
      <c r="AH41" s="2935"/>
      <c r="AI41" s="2935"/>
      <c r="AJ41" s="2936"/>
      <c r="AK41"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92"/>
      <c r="AN41" s="1192" t="str">
        <f>IF(T41="","",T41)</f>
        <v>Наименование тарифа</v>
      </c>
      <c r="AO41" s="1192"/>
      <c r="AP41" s="1192"/>
      <c r="AQ41" s="1847">
        <v>23</v>
      </c>
    </row>
    <row customHeight="1" ht="24">
      <c r="A42" s="2055" t="s">
        <v>346</v>
      </c>
      <c r="B42" s="2055" t="s">
        <v>347</v>
      </c>
      <c r="C42" s="2055"/>
      <c r="D42" s="2055"/>
      <c r="E42" s="2951"/>
      <c r="F42" s="2950">
        <v>1</v>
      </c>
      <c r="G42" s="2055"/>
      <c r="H42" s="2055"/>
      <c r="I42" s="2055"/>
      <c r="J42" s="2055"/>
      <c r="K42" s="2055"/>
      <c r="L42" s="2056"/>
      <c r="M42" s="2057"/>
      <c r="N42" s="2057"/>
      <c r="O42" s="2057"/>
      <c r="P42" s="2179"/>
      <c r="Q42" s="1044"/>
      <c r="R42" s="1045"/>
      <c r="S42" s="2185" t="str">
        <f>INDEX(PT_DIFFERENTIATION_NUM_TER,MATCH(B42,PT_DIFFERENTIATION_TER_ID,0))</f>
        <v>.</v>
      </c>
      <c r="T42" s="1000" t="s">
        <v>472</v>
      </c>
      <c r="U42" s="992"/>
      <c r="V42" s="2934"/>
      <c r="W42" s="2935"/>
      <c r="X42" s="2935"/>
      <c r="Y42" s="2935"/>
      <c r="Z42" s="2935"/>
      <c r="AA42" s="2935"/>
      <c r="AB42" s="2936"/>
      <c r="AC42" s="2934" t="str">
        <f>INDEX(PT_DIFFERENTIATION_TER,MATCH(B42,PT_DIFFERENTIATION_TER_ID,0))</f>
        <v/>
      </c>
      <c r="AD42" s="2935"/>
      <c r="AE42" s="2935"/>
      <c r="AF42" s="2935"/>
      <c r="AG42" s="2935"/>
      <c r="AH42" s="2935"/>
      <c r="AI42" s="2935"/>
      <c r="AJ42" s="2936"/>
      <c r="AK42" s="1950" t="s">
        <v>473</v>
      </c>
      <c r="AM42" s="1192"/>
      <c r="AN42" s="1192" t="str">
        <f>IF(T42="","",T42)</f>
        <v>Территория действия тарифа</v>
      </c>
      <c r="AO42" s="1192"/>
      <c r="AP42" s="1192"/>
      <c r="AQ42" s="1847">
        <v>23</v>
      </c>
    </row>
    <row customHeight="1" ht="24">
      <c r="A43" s="2055" t="s">
        <v>346</v>
      </c>
      <c r="B43" s="2055" t="s">
        <v>347</v>
      </c>
      <c r="C43" s="2055" t="s">
        <v>348</v>
      </c>
      <c r="D43" s="2055"/>
      <c r="E43" s="2951"/>
      <c r="F43" s="2951"/>
      <c r="G43" s="2950">
        <v>1</v>
      </c>
      <c r="H43" s="2055"/>
      <c r="I43" s="2055"/>
      <c r="J43" s="2055"/>
      <c r="K43" s="2055"/>
      <c r="L43" s="2056"/>
      <c r="M43" s="2057"/>
      <c r="N43" s="2057"/>
      <c r="O43" s="2057"/>
      <c r="P43" s="1046"/>
      <c r="Q43" s="1044"/>
      <c r="R43" s="1045"/>
      <c r="S43" s="2185" t="str">
        <f>INDEX(PT_DIFFERENTIATION_NUM_CS,MATCH(C43,PT_DIFFERENTIATION_CS_ID,0))</f>
        <v>..</v>
      </c>
      <c r="T43" s="1001" t="s">
        <v>590</v>
      </c>
      <c r="U43" s="992"/>
      <c r="V43" s="2934"/>
      <c r="W43" s="2935"/>
      <c r="X43" s="2935"/>
      <c r="Y43" s="2935"/>
      <c r="Z43" s="2935"/>
      <c r="AA43" s="2935"/>
      <c r="AB43" s="2936"/>
      <c r="AC43" s="2934" t="str">
        <f>INDEX(PT_DIFFERENTIATION_CS,MATCH(C43,PT_DIFFERENTIATION_CS_ID,0))</f>
        <v/>
      </c>
      <c r="AD43" s="2935"/>
      <c r="AE43" s="2935"/>
      <c r="AF43" s="2935"/>
      <c r="AG43" s="2935"/>
      <c r="AH43" s="2935"/>
      <c r="AI43" s="2935"/>
      <c r="AJ43" s="2936"/>
      <c r="AK43" s="1950" t="s">
        <v>591</v>
      </c>
      <c r="AM43" s="1192"/>
      <c r="AN43" s="1192" t="str">
        <f>IF(T43="","",T43)</f>
        <v>Наименование централизованной системы водоотведения</v>
      </c>
      <c r="AO43" s="1192"/>
      <c r="AP43" s="1192"/>
      <c r="AQ43" s="1847">
        <v>23</v>
      </c>
    </row>
    <row customHeight="1" ht="24">
      <c r="A44" s="2055" t="s">
        <v>346</v>
      </c>
      <c r="B44" s="2055" t="s">
        <v>347</v>
      </c>
      <c r="C44" s="2055" t="s">
        <v>348</v>
      </c>
      <c r="D44" s="2055" t="s">
        <v>595</v>
      </c>
      <c r="E44" s="2951"/>
      <c r="F44" s="2951"/>
      <c r="G44" s="2951"/>
      <c r="H44" s="2951"/>
      <c r="I44" s="2948" t="str">
        <f>S43&amp;".1"</f>
        <v>...1</v>
      </c>
      <c r="J44" s="2055"/>
      <c r="K44" s="2055"/>
      <c r="L44" s="2056"/>
      <c r="P44" s="2949">
        <v>1</v>
      </c>
      <c r="Q44" s="2173"/>
      <c r="R44" s="1048"/>
      <c r="S44" s="2185" t="str">
        <f>$I44</f>
        <v>...1</v>
      </c>
      <c r="T44" s="977" t="s">
        <v>557</v>
      </c>
      <c r="U44" s="992"/>
      <c r="V44" s="3042"/>
      <c r="W44" s="3043"/>
      <c r="X44" s="3043"/>
      <c r="Y44" s="3043"/>
      <c r="Z44" s="3043"/>
      <c r="AA44" s="3043"/>
      <c r="AB44" s="3044"/>
      <c r="AC44" s="3045"/>
      <c r="AD44" s="3046"/>
      <c r="AE44" s="3046"/>
      <c r="AF44" s="3046"/>
      <c r="AG44" s="3046"/>
      <c r="AH44" s="3046"/>
      <c r="AI44" s="3046"/>
      <c r="AJ44" s="3047"/>
      <c r="AK44" s="1950" t="s">
        <v>558</v>
      </c>
      <c r="AM44" s="1192"/>
      <c r="AN44" s="1192" t="str">
        <f>IF(T44="","",T44)</f>
        <v>Наименование признака дифференциации</v>
      </c>
      <c r="AO44" s="1192"/>
      <c r="AP44" s="1192"/>
      <c r="AQ44" s="1847">
        <v>23</v>
      </c>
    </row>
    <row customHeight="1" ht="24">
      <c r="A45" s="2055" t="s">
        <v>346</v>
      </c>
      <c r="B45" s="2055" t="s">
        <v>347</v>
      </c>
      <c r="C45" s="2055" t="s">
        <v>348</v>
      </c>
      <c r="D45" s="2055" t="s">
        <v>595</v>
      </c>
      <c r="E45" s="2951"/>
      <c r="F45" s="2951"/>
      <c r="G45" s="2951"/>
      <c r="H45" s="2951"/>
      <c r="I45" s="2978"/>
      <c r="J45" s="2948" t="str">
        <f>I44&amp;".1"</f>
        <v>...1.1</v>
      </c>
      <c r="K45" s="2055"/>
      <c r="L45" s="2056" t="s">
        <v>481</v>
      </c>
      <c r="P45" s="2949"/>
      <c r="Q45" s="2949">
        <v>1</v>
      </c>
      <c r="R45" s="1049"/>
      <c r="S45" s="2185" t="str">
        <f>$J45</f>
        <v>...1.1</v>
      </c>
      <c r="T45" s="978" t="s">
        <v>482</v>
      </c>
      <c r="U45" s="992"/>
      <c r="V45" s="2937"/>
      <c r="W45" s="2938"/>
      <c r="X45" s="2938"/>
      <c r="Y45" s="2938"/>
      <c r="Z45" s="2938"/>
      <c r="AA45" s="2938"/>
      <c r="AB45" s="2939"/>
      <c r="AC45" s="2937"/>
      <c r="AD45" s="2938"/>
      <c r="AE45" s="2938"/>
      <c r="AF45" s="2938"/>
      <c r="AG45" s="2938"/>
      <c r="AH45" s="2938"/>
      <c r="AI45" s="2938"/>
      <c r="AJ45" s="2939"/>
      <c r="AK45" s="1999" t="s">
        <v>559</v>
      </c>
      <c r="AM45" s="1192"/>
      <c r="AN45" s="1192" t="str">
        <f>IF(T45="","",T45)</f>
        <v>Группа потребителей</v>
      </c>
      <c r="AO45" s="1192"/>
      <c r="AP45" s="1192"/>
      <c r="AQ45" s="1847">
        <v>23</v>
      </c>
    </row>
    <row customHeight="1" ht="24">
      <c r="A46" s="2055" t="s">
        <v>346</v>
      </c>
      <c r="B46" s="2055" t="s">
        <v>347</v>
      </c>
      <c r="C46" s="2055" t="s">
        <v>348</v>
      </c>
      <c r="D46" s="2055" t="s">
        <v>595</v>
      </c>
      <c r="E46" s="2951"/>
      <c r="F46" s="2951"/>
      <c r="G46" s="2951"/>
      <c r="H46" s="2951"/>
      <c r="I46" s="2978"/>
      <c r="J46" s="2978"/>
      <c r="K46" s="2948" t="str">
        <f>J45&amp;".1"</f>
        <v>...1.1.1</v>
      </c>
      <c r="L46" s="2056"/>
      <c r="P46" s="2949"/>
      <c r="Q46" s="2949"/>
      <c r="R46" s="1049">
        <v>1</v>
      </c>
      <c r="S46" s="2185" t="str">
        <f>$K46</f>
        <v>...1.1.1</v>
      </c>
      <c r="T46" s="2129"/>
      <c r="U46" s="992"/>
      <c r="V46" s="2052"/>
      <c r="W46" s="2052"/>
      <c r="X46" s="2053"/>
      <c r="Y46" s="2959"/>
      <c r="Z46" s="2960" t="s">
        <v>67</v>
      </c>
      <c r="AA46" s="2959"/>
      <c r="AB46" s="2960" t="s">
        <v>67</v>
      </c>
      <c r="AC46" s="1443"/>
      <c r="AD46" s="1443"/>
      <c r="AE46" s="1949"/>
      <c r="AF46" s="2957"/>
      <c r="AG46" s="2799" t="s">
        <v>67</v>
      </c>
      <c r="AH46" s="2979"/>
      <c r="AI46" s="2799" t="s">
        <v>19</v>
      </c>
      <c r="AJ46" s="2130"/>
      <c r="AK46"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03">
        <f>STRCHECKDATE(V47:AJ47)</f>
      </c>
      <c r="AM46" s="1192"/>
      <c r="AN46" s="1192" t="str">
        <f>IF(T46="","",T46)</f>
        <v/>
      </c>
      <c r="AO46" s="1192"/>
      <c r="AP46" s="1192"/>
      <c r="AQ46" s="1847">
        <v>23</v>
      </c>
    </row>
    <row customHeight="1" ht="0">
      <c r="A47" s="2055" t="s">
        <v>346</v>
      </c>
      <c r="B47" s="2055" t="s">
        <v>347</v>
      </c>
      <c r="C47" s="2055" t="s">
        <v>348</v>
      </c>
      <c r="D47" s="2055" t="s">
        <v>595</v>
      </c>
      <c r="E47" s="2951"/>
      <c r="F47" s="2951"/>
      <c r="G47" s="2951"/>
      <c r="H47" s="2951"/>
      <c r="I47" s="2978"/>
      <c r="J47" s="2978"/>
      <c r="K47" s="2948"/>
      <c r="L47" s="2056"/>
      <c r="P47" s="2949"/>
      <c r="Q47" s="2949"/>
      <c r="R47" s="1049"/>
      <c r="S47" s="2182"/>
      <c r="T47" s="992"/>
      <c r="U47" s="992"/>
      <c r="V47" s="2052"/>
      <c r="W47" s="2052"/>
      <c r="X47" s="1020" t="str">
        <f>Y46&amp;"-"&amp;AA46</f>
        <v>-</v>
      </c>
      <c r="Y47" s="2960"/>
      <c r="Z47" s="2960"/>
      <c r="AA47" s="2960"/>
      <c r="AB47" s="2960"/>
      <c r="AC47" s="1017"/>
      <c r="AD47" s="1017"/>
      <c r="AE47" s="1020" t="str">
        <f>AF46&amp;"-"&amp;AH46</f>
        <v>-</v>
      </c>
      <c r="AF47" s="2958"/>
      <c r="AG47" s="2799"/>
      <c r="AH47" s="2980"/>
      <c r="AI47" s="2799"/>
      <c r="AJ47" s="2131"/>
      <c r="AK47" s="3041"/>
      <c r="AM47" s="1192"/>
      <c r="AN47" s="1192" t="str">
        <f>IF(T47="","",T47)</f>
        <v/>
      </c>
      <c r="AO47" s="1192"/>
      <c r="AP47" s="1192"/>
      <c r="AQ47" s="1847">
        <v>0</v>
      </c>
    </row>
    <row customHeight="1" ht="21">
      <c r="A48" s="2055" t="s">
        <v>346</v>
      </c>
      <c r="B48" s="2055" t="s">
        <v>347</v>
      </c>
      <c r="C48" s="2055" t="s">
        <v>348</v>
      </c>
      <c r="D48" s="2055" t="s">
        <v>595</v>
      </c>
      <c r="E48" s="2951"/>
      <c r="F48" s="2951"/>
      <c r="G48" s="2951"/>
      <c r="H48" s="2951"/>
      <c r="I48" s="2978"/>
      <c r="J48" s="2948"/>
      <c r="K48" s="2055"/>
      <c r="L48" s="2056"/>
      <c r="P48" s="2949"/>
      <c r="Q48" s="2949"/>
      <c r="R48" s="1048"/>
      <c r="S48" s="1970"/>
      <c r="T48" s="979" t="s">
        <v>560</v>
      </c>
      <c r="U48" s="1059"/>
      <c r="V48" s="1059"/>
      <c r="W48" s="1059"/>
      <c r="X48" s="1059"/>
      <c r="Y48" s="1059"/>
      <c r="Z48" s="1059"/>
      <c r="AA48" s="1059"/>
      <c r="AB48" s="1059"/>
      <c r="AC48" s="1059"/>
      <c r="AD48" s="1059"/>
      <c r="AE48" s="1059"/>
      <c r="AF48" s="1059"/>
      <c r="AG48" s="1059"/>
      <c r="AH48" s="1059"/>
      <c r="AI48" s="1059"/>
      <c r="AJ48" s="1059"/>
      <c r="AK48" s="1950" t="s">
        <v>561</v>
      </c>
      <c r="AM48" s="1192"/>
      <c r="AN48" s="1192" t="str">
        <f>IF(T48="","",T48)</f>
        <v>Добавить значение признака дифференциации</v>
      </c>
      <c r="AO48" s="1192"/>
      <c r="AP48" s="1192"/>
      <c r="AQ48" s="1847">
        <v>20</v>
      </c>
    </row>
    <row customHeight="1" ht="22.049999999999997">
      <c r="A49" s="2055" t="s">
        <v>346</v>
      </c>
      <c r="B49" s="2055" t="s">
        <v>347</v>
      </c>
      <c r="C49" s="2055" t="s">
        <v>348</v>
      </c>
      <c r="D49" s="2055" t="s">
        <v>595</v>
      </c>
      <c r="E49" s="2951"/>
      <c r="F49" s="2951"/>
      <c r="G49" s="2951"/>
      <c r="H49" s="2951"/>
      <c r="I49" s="2948"/>
      <c r="J49" s="2055"/>
      <c r="K49" s="2055"/>
      <c r="L49" s="2056"/>
      <c r="P49" s="2949"/>
      <c r="Q49" s="2173"/>
      <c r="R49" s="1048"/>
      <c r="S49" s="1970"/>
      <c r="T49" s="1057" t="s">
        <v>487</v>
      </c>
      <c r="U49" s="1059"/>
      <c r="V49" s="1059"/>
      <c r="W49" s="1059"/>
      <c r="X49" s="1059"/>
      <c r="Y49" s="1059"/>
      <c r="Z49" s="1059"/>
      <c r="AA49" s="1059"/>
      <c r="AB49" s="1058"/>
      <c r="AC49" s="1059"/>
      <c r="AD49" s="1059"/>
      <c r="AE49" s="1059"/>
      <c r="AF49" s="1059"/>
      <c r="AG49" s="1059"/>
      <c r="AH49" s="1059"/>
      <c r="AI49" s="1058"/>
      <c r="AJ49" s="1059"/>
      <c r="AK49" s="2132"/>
      <c r="AM49" s="1192"/>
      <c r="AN49" s="1192" t="str">
        <f>IF(T49="","",T49)</f>
        <v>Добавить группу потребителей</v>
      </c>
      <c r="AO49" s="1192"/>
      <c r="AP49" s="1192"/>
      <c r="AQ49" s="1847">
        <v>21</v>
      </c>
    </row>
    <row customHeight="1" ht="22.049999999999997">
      <c r="A50" s="2055" t="s">
        <v>346</v>
      </c>
      <c r="B50" s="2055" t="s">
        <v>347</v>
      </c>
      <c r="C50" s="2055" t="s">
        <v>348</v>
      </c>
      <c r="D50" s="2055" t="s">
        <v>595</v>
      </c>
      <c r="E50" s="2951"/>
      <c r="F50" s="2951"/>
      <c r="G50" s="2951"/>
      <c r="H50" s="2950"/>
      <c r="I50" s="2055"/>
      <c r="J50" s="2055"/>
      <c r="K50" s="2055"/>
      <c r="L50" s="2056"/>
      <c r="M50" s="2057"/>
      <c r="N50" s="2057"/>
      <c r="O50" s="1229"/>
      <c r="P50" s="1052"/>
      <c r="Q50" s="1067"/>
      <c r="R50" s="1047"/>
      <c r="S50" s="1970"/>
      <c r="T50" s="1064" t="s">
        <v>562</v>
      </c>
      <c r="U50" s="1059"/>
      <c r="V50" s="1059"/>
      <c r="W50" s="1059"/>
      <c r="X50" s="1059"/>
      <c r="Y50" s="1059"/>
      <c r="Z50" s="1059"/>
      <c r="AA50" s="1059"/>
      <c r="AB50" s="1058"/>
      <c r="AC50" s="1059"/>
      <c r="AD50" s="1059"/>
      <c r="AE50" s="1059"/>
      <c r="AF50" s="1059"/>
      <c r="AG50" s="1059"/>
      <c r="AH50" s="1059"/>
      <c r="AI50" s="1058"/>
      <c r="AJ50" s="1059"/>
      <c r="AK50" s="995"/>
      <c r="AM50" s="1192"/>
      <c r="AN50" s="1192" t="str">
        <f>IF(T50="","",T50)</f>
        <v>Добавить наименование признака дифференциации</v>
      </c>
      <c r="AO50" s="1192"/>
      <c r="AP50" s="1192"/>
      <c r="AQ50" s="1847">
        <v>21</v>
      </c>
    </row>
    <row s="61695" customFormat="1" customHeight="1" ht="0">
      <c r="A51" s="2035" t="s">
        <v>346</v>
      </c>
      <c r="B51" s="2035" t="s">
        <v>347</v>
      </c>
      <c r="C51" s="2006"/>
      <c r="D51" s="2006"/>
      <c r="E51" s="2951"/>
      <c r="F51" s="2950"/>
      <c r="G51" s="2006"/>
      <c r="H51" s="2006"/>
      <c r="I51" s="2006"/>
      <c r="J51" s="2006"/>
      <c r="K51" s="2006"/>
      <c r="L51" s="2186"/>
      <c r="M51" s="2013"/>
      <c r="N51" s="2013"/>
      <c r="P51" s="2008"/>
      <c r="Q51" s="2009"/>
      <c r="R51" s="2008"/>
      <c r="S51" s="2014"/>
      <c r="T51" s="2017" t="s">
        <v>172</v>
      </c>
      <c r="U51" s="2016"/>
      <c r="V51" s="2016"/>
      <c r="W51" s="2016"/>
      <c r="X51" s="2016"/>
      <c r="Y51" s="2016"/>
      <c r="Z51" s="2016"/>
      <c r="AA51" s="2016"/>
      <c r="AB51" s="2016"/>
      <c r="AC51" s="2016"/>
      <c r="AD51" s="2016"/>
      <c r="AE51" s="2016"/>
      <c r="AF51" s="2016"/>
      <c r="AG51" s="2016"/>
      <c r="AH51" s="2016"/>
      <c r="AI51" s="2016"/>
      <c r="AJ51" s="2016"/>
      <c r="AK51" s="2016"/>
      <c r="AM51" s="1481"/>
      <c r="AN51" s="1481" t="str">
        <f>IF(T51="","",T51)</f>
        <v>Добавить централизованную систему для дифференциации</v>
      </c>
      <c r="AO51" s="1481"/>
      <c r="AP51" s="1481"/>
      <c r="AQ51" s="1210">
        <v>0</v>
      </c>
    </row>
    <row s="61695" customFormat="1" customHeight="1" ht="0">
      <c r="A52" s="2035" t="s">
        <v>346</v>
      </c>
      <c r="B52" s="2035"/>
      <c r="C52" s="2035"/>
      <c r="D52" s="2035"/>
      <c r="E52" s="2950"/>
      <c r="F52" s="2035"/>
      <c r="G52" s="2035"/>
      <c r="H52" s="2035"/>
      <c r="I52" s="2035"/>
      <c r="J52" s="2035"/>
      <c r="K52" s="2035"/>
      <c r="L52" s="2038"/>
      <c r="M52" s="2013"/>
      <c r="N52" s="2013"/>
      <c r="O52" s="1210"/>
      <c r="P52" s="1072"/>
      <c r="Q52" s="2036"/>
      <c r="R52" s="1072"/>
      <c r="S52" s="2014"/>
      <c r="T52" s="2017" t="s">
        <v>173</v>
      </c>
      <c r="U52" s="2016"/>
      <c r="V52" s="2016"/>
      <c r="W52" s="2016"/>
      <c r="X52" s="2016"/>
      <c r="Y52" s="2016"/>
      <c r="Z52" s="2016"/>
      <c r="AA52" s="2016"/>
      <c r="AB52" s="2016"/>
      <c r="AC52" s="2016"/>
      <c r="AD52" s="2016"/>
      <c r="AE52" s="2016"/>
      <c r="AF52" s="2016"/>
      <c r="AG52" s="2016"/>
      <c r="AH52" s="2016"/>
      <c r="AI52" s="2016"/>
      <c r="AJ52" s="2016"/>
      <c r="AK52" s="2016"/>
      <c r="AM52" s="1192"/>
      <c r="AN52" s="1192" t="str">
        <f>IF(T52="","",T52)</f>
        <v>Добавить территорию для дифференциации</v>
      </c>
      <c r="AO52" s="1192"/>
      <c r="AP52" s="1192"/>
      <c r="AQ52" s="1203">
        <v>0</v>
      </c>
    </row>
    <row s="61695" customFormat="1" customHeight="1" ht="0">
      <c r="A53" s="2006"/>
      <c r="B53" s="2006"/>
      <c r="C53" s="2006"/>
      <c r="D53" s="2006"/>
      <c r="E53" s="2035"/>
      <c r="F53" s="2006"/>
      <c r="G53" s="2006"/>
      <c r="H53" s="2006"/>
      <c r="I53" s="2006"/>
      <c r="J53" s="2006"/>
      <c r="K53" s="2006"/>
      <c r="L53" s="2186"/>
      <c r="M53" s="2013"/>
      <c r="N53" s="2013"/>
      <c r="P53" s="2008"/>
      <c r="Q53" s="2009"/>
      <c r="R53" s="2008"/>
      <c r="S53" s="2014"/>
      <c r="T53" s="2017" t="s">
        <v>186</v>
      </c>
      <c r="U53" s="2016"/>
      <c r="V53" s="2016"/>
      <c r="W53" s="2016"/>
      <c r="X53" s="2016"/>
      <c r="Y53" s="2016"/>
      <c r="Z53" s="2016"/>
      <c r="AA53" s="2016"/>
      <c r="AB53" s="2016"/>
      <c r="AC53" s="2016"/>
      <c r="AD53" s="2016"/>
      <c r="AE53" s="2016"/>
      <c r="AF53" s="2016"/>
      <c r="AG53" s="2016"/>
      <c r="AH53" s="2016"/>
      <c r="AI53" s="2016"/>
      <c r="AJ53" s="2016"/>
      <c r="AK53" s="2016"/>
      <c r="AM53" s="1481"/>
      <c r="AN53" s="1481" t="str">
        <f>IF(T53="","",T53)</f>
        <v>Добавить наименование тарифа</v>
      </c>
      <c r="AO53" s="1481"/>
      <c r="AP53" s="1481"/>
      <c r="AQ53" s="1210">
        <v>0</v>
      </c>
    </row>
    <row customHeight="1" ht="11.549999999999999">
      <c r="M54" s="1852"/>
      <c r="N54" s="1852"/>
      <c r="O54" s="1229"/>
      <c r="P54" s="1847"/>
      <c r="Q54" s="1847"/>
      <c r="R54" s="1847"/>
      <c r="S54" s="1847"/>
      <c r="AL54" s="1847"/>
      <c r="AM54" s="1847"/>
      <c r="AN54" s="1847"/>
      <c r="AO54" s="1847"/>
      <c r="AP54" s="1847"/>
      <c r="AQ54" s="1847">
        <v>11</v>
      </c>
    </row>
    <row customHeight="1" ht="14.699999999999998">
      <c r="O55" s="1229"/>
      <c r="S55" s="1945"/>
      <c r="T55" s="2977"/>
      <c r="U55" s="2977"/>
      <c r="V55" s="2977"/>
      <c r="W55" s="2977"/>
      <c r="X55" s="2977"/>
      <c r="Y55" s="2977"/>
      <c r="Z55" s="2977"/>
      <c r="AA55" s="2977"/>
      <c r="AB55" s="2977"/>
      <c r="AC55" s="2977"/>
      <c r="AD55" s="2977"/>
      <c r="AE55" s="2977"/>
      <c r="AF55" s="2977"/>
      <c r="AG55" s="2977"/>
      <c r="AH55" s="2977"/>
      <c r="AI55" s="2977"/>
      <c r="AJ55" s="2977"/>
      <c r="AK55" s="2977"/>
      <c r="AQ55" s="1847">
        <v>14</v>
      </c>
    </row>
    <row customHeight="1" ht="14.699999999999998">
      <c r="O56" s="1229"/>
      <c r="AQ56" s="1847">
        <v>14</v>
      </c>
    </row>
    <row customHeight="1" ht="14.699999999999998">
      <c r="O57" s="1229"/>
      <c r="S57" s="1945"/>
      <c r="T57" s="2977"/>
      <c r="U57" s="2977"/>
      <c r="V57" s="2977"/>
      <c r="W57" s="2977"/>
      <c r="X57" s="2977"/>
      <c r="Y57" s="2977"/>
      <c r="Z57" s="2977"/>
      <c r="AA57" s="2977"/>
      <c r="AB57" s="2977"/>
      <c r="AC57" s="2977"/>
      <c r="AD57" s="2977"/>
      <c r="AE57" s="2977"/>
      <c r="AF57" s="2977"/>
      <c r="AG57" s="2977"/>
      <c r="AH57" s="2977"/>
      <c r="AI57" s="2977"/>
      <c r="AJ57" s="2977"/>
      <c r="AK57" s="2977"/>
      <c r="AQ57" s="1847">
        <v>14</v>
      </c>
    </row>
    <row customHeight="1" ht="22.5" hidden="1">
      <c r="A58" s="1852" t="s">
        <v>83</v>
      </c>
      <c r="B58" s="1852">
        <v>0</v>
      </c>
      <c r="C58" s="1852">
        <v>0</v>
      </c>
      <c r="D58" s="1852">
        <v>0</v>
      </c>
      <c r="E58" s="1852">
        <v>0</v>
      </c>
      <c r="F58" s="1852">
        <v>0</v>
      </c>
      <c r="G58" s="1852">
        <v>0</v>
      </c>
      <c r="H58" s="1852">
        <v>0</v>
      </c>
      <c r="I58" s="1852">
        <v>0</v>
      </c>
      <c r="J58" s="1852">
        <v>0</v>
      </c>
      <c r="K58" s="1852">
        <v>0</v>
      </c>
      <c r="L58" s="2170">
        <v>0</v>
      </c>
      <c r="M58" s="2054">
        <v>0</v>
      </c>
      <c r="N58" s="2054">
        <v>0</v>
      </c>
      <c r="O58" s="2054">
        <v>0</v>
      </c>
      <c r="P58" s="2165">
        <v>3</v>
      </c>
      <c r="Q58" s="1036">
        <v>3</v>
      </c>
      <c r="R58" s="1036">
        <v>3</v>
      </c>
      <c r="S58" s="1273">
        <v>12</v>
      </c>
      <c r="T58" s="1847">
        <v>35</v>
      </c>
      <c r="U58" s="1847">
        <v>0</v>
      </c>
      <c r="V58" s="1847">
        <v>0</v>
      </c>
      <c r="W58" s="1847">
        <v>0</v>
      </c>
      <c r="X58" s="1847">
        <v>0</v>
      </c>
      <c r="Y58" s="1847">
        <v>0</v>
      </c>
      <c r="Z58" s="1847">
        <v>0</v>
      </c>
      <c r="AA58" s="1847">
        <v>0</v>
      </c>
      <c r="AB58" s="1847">
        <v>0</v>
      </c>
      <c r="AC58" s="1847">
        <v>24</v>
      </c>
      <c r="AD58" s="1847">
        <v>24</v>
      </c>
      <c r="AE58" s="1847">
        <v>24</v>
      </c>
      <c r="AF58" s="1847">
        <v>11</v>
      </c>
      <c r="AG58" s="1847">
        <v>3</v>
      </c>
      <c r="AH58" s="1847">
        <v>11</v>
      </c>
      <c r="AI58" s="1847">
        <v>0</v>
      </c>
      <c r="AJ58" s="1847">
        <v>4</v>
      </c>
      <c r="AK58" s="1847">
        <v>115</v>
      </c>
      <c r="AL58" s="1203">
        <v>10</v>
      </c>
      <c r="AM58" s="1203">
        <v>10</v>
      </c>
      <c r="AN58" s="1203">
        <v>10</v>
      </c>
      <c r="AO58" s="1203">
        <v>10</v>
      </c>
      <c r="AP58" s="1203">
        <v>10</v>
      </c>
      <c r="AQ58" s="184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A73A2A-6D95-EB92-EEBB-B490DB4C7ADE}"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62148" width="11.57421875" hidden="1" customWidth="1"/>
    <col min="2" max="2" style="62148" width="11.00390625" hidden="1" customWidth="1"/>
    <col min="3" max="3" style="62148" width="10.57421875" hidden="1"/>
    <col min="4" max="4" style="62148" width="12.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2.00390625" hidden="1" customWidth="1"/>
    <col min="10" max="10" style="62148" width="9.8515625" hidden="1" customWidth="1"/>
    <col min="11" max="11" style="62148" width="11.421875" hidden="1" customWidth="1"/>
    <col min="12" max="12" style="63164" width="19.140625" hidden="1" customWidth="1"/>
    <col min="13" max="14" style="61371" width="12.28125" hidden="1" customWidth="1"/>
    <col min="15" max="15" style="61371" width="23.421875" hidden="1" customWidth="1"/>
    <col min="16" max="16" style="61371" width="3.7109375" hidden="1" customWidth="1"/>
    <col min="17" max="17" style="61437" width="3.7109375" hidden="1" customWidth="1"/>
    <col min="18" max="18" style="62288" width="3.00390625" customWidth="1"/>
    <col min="19" max="19" style="63156" width="12.00390625" customWidth="1"/>
    <col min="20" max="20" style="62286" width="31.00390625" customWidth="1"/>
    <col min="21" max="21" style="62286" width="0.140625" customWidth="1"/>
    <col min="22" max="25" style="62286" width="21.7109375" hidden="1" customWidth="1"/>
    <col min="26" max="26" style="62286" width="11.7109375" hidden="1" customWidth="1"/>
    <col min="27" max="27" style="62286" width="3.7109375" hidden="1" customWidth="1"/>
    <col min="28" max="28" style="62286" width="11.7109375" hidden="1" customWidth="1"/>
    <col min="29" max="29" style="62286" width="8.57421875" hidden="1" customWidth="1"/>
    <col min="30" max="30" style="62286" width="3.7109375" customWidth="1"/>
    <col min="31" max="32" style="62286" width="3.00390625" customWidth="1"/>
    <col min="33" max="33" style="62286" width="24.00390625" customWidth="1"/>
    <col min="34" max="34" style="62286" width="3.7109375" customWidth="1"/>
    <col min="35" max="36" style="62286" width="3.00390625" customWidth="1"/>
    <col min="37" max="37" style="62286" width="24.00390625" customWidth="1"/>
    <col min="38" max="38" style="62286" width="3.7109375" customWidth="1"/>
    <col min="39" max="40" style="62286" width="3.00390625" customWidth="1"/>
    <col min="41" max="41" style="62286" width="18.00390625" customWidth="1"/>
    <col min="42" max="42" style="62286" width="3.7109375" customWidth="1"/>
    <col min="43" max="44" style="62286" width="3.00390625" customWidth="1"/>
    <col min="45" max="45" style="62286" width="18.00390625" customWidth="1"/>
    <col min="46" max="49" style="62286" width="21.00390625" customWidth="1"/>
    <col min="50" max="50" style="62286" width="11.00390625" customWidth="1"/>
    <col min="51" max="51" style="62286" width="3.7109375" customWidth="1"/>
    <col min="52" max="52" style="62286" width="11.00390625" customWidth="1"/>
    <col min="53" max="53" style="62286" width="8.57421875" hidden="1" customWidth="1"/>
    <col min="54" max="54" style="62286" width="4.00390625" customWidth="1"/>
    <col min="55" max="55" style="62286" width="115.00390625" customWidth="1"/>
    <col min="56" max="60" style="61695" width="10.00390625" customWidth="1"/>
    <col min="61" max="61" style="62286" width="10.57421875" hidden="1"/>
  </cols>
  <sheetData>
    <row customHeight="1" ht="22.5" hidden="1">
      <c r="W1" s="1019"/>
      <c r="Y1" s="1019"/>
      <c r="Z1" s="1019"/>
      <c r="AW1" s="1019"/>
      <c r="AX1" s="1019"/>
      <c r="BI1" s="1847" t="s">
        <v>14</v>
      </c>
    </row>
    <row customHeight="1" ht="21" hidden="1">
      <c r="A2" s="2055"/>
      <c r="B2" s="2055"/>
      <c r="C2" s="2055"/>
      <c r="D2" s="2055"/>
      <c r="E2" s="2950">
        <v>1</v>
      </c>
      <c r="F2" s="2055"/>
      <c r="G2" s="2055"/>
      <c r="H2" s="2055"/>
      <c r="I2" s="2055"/>
      <c r="J2" s="2055"/>
      <c r="K2" s="2055"/>
      <c r="L2" s="2056"/>
      <c r="M2" s="2057"/>
      <c r="N2" s="2057"/>
      <c r="O2" s="2057"/>
      <c r="P2" s="2101"/>
      <c r="Q2" s="1565"/>
      <c r="R2" s="1047"/>
      <c r="S2" s="2185">
        <f>INDEX(PT_DIFFERENTIATION_NUM_NTAR,MATCH(A2,PT_DIFFERENTIATION_NTAR_ID,0))</f>
      </c>
      <c r="T2" s="990" t="s">
        <v>131</v>
      </c>
      <c r="U2" s="992"/>
      <c r="V2" s="2935"/>
      <c r="W2" s="2935"/>
      <c r="X2" s="2935"/>
      <c r="Y2" s="2935"/>
      <c r="Z2" s="2935"/>
      <c r="AA2" s="2935"/>
      <c r="AB2" s="2935"/>
      <c r="AC2" s="2936"/>
      <c r="AD2" s="2934">
        <f>INDEX(PT_DIFFERENTIATION_NTAR,MATCH(A2,PT_DIFFERENTIATION_NTAR_ID,0))</f>
      </c>
      <c r="AE2" s="2935"/>
      <c r="AF2" s="2935"/>
      <c r="AG2" s="2935"/>
      <c r="AH2" s="2935"/>
      <c r="AI2" s="2935"/>
      <c r="AJ2" s="2935"/>
      <c r="AK2" s="2935"/>
      <c r="AL2" s="2935"/>
      <c r="AM2" s="2935"/>
      <c r="AN2" s="2935"/>
      <c r="AO2" s="2935"/>
      <c r="AP2" s="2935"/>
      <c r="AQ2" s="2935"/>
      <c r="AR2" s="2935"/>
      <c r="AS2" s="2935"/>
      <c r="AT2" s="2935"/>
      <c r="AU2" s="2935"/>
      <c r="AV2" s="2935"/>
      <c r="AW2" s="2935"/>
      <c r="AX2" s="2935"/>
      <c r="AY2" s="2935"/>
      <c r="AZ2" s="2935"/>
      <c r="BA2" s="2935"/>
      <c r="BB2" s="2936"/>
      <c r="BC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92"/>
      <c r="BF2" s="1192" t="str">
        <f>IF(T2="","",T2)</f>
        <v>Наименование тарифа</v>
      </c>
      <c r="BG2" s="1192"/>
      <c r="BH2" s="1192"/>
      <c r="BI2" s="1847">
        <v>0</v>
      </c>
    </row>
    <row customHeight="1" ht="21" hidden="1">
      <c r="A3" s="2055"/>
      <c r="B3" s="2055"/>
      <c r="C3" s="2055"/>
      <c r="D3" s="2055"/>
      <c r="E3" s="2951"/>
      <c r="F3" s="2950">
        <v>1</v>
      </c>
      <c r="G3" s="2055"/>
      <c r="H3" s="2055"/>
      <c r="I3" s="2055"/>
      <c r="J3" s="2055"/>
      <c r="K3" s="2055"/>
      <c r="L3" s="2056"/>
      <c r="M3" s="2057"/>
      <c r="N3" s="2057"/>
      <c r="O3" s="2057"/>
      <c r="P3" s="2102"/>
      <c r="Q3" s="2103"/>
      <c r="R3" s="1045"/>
      <c r="S3" s="2185">
        <f>INDEX(PT_DIFFERENTIATION_NUM_TER,MATCH(B3,PT_DIFFERENTIATION_TER_ID,0))</f>
      </c>
      <c r="T3" s="1000" t="s">
        <v>472</v>
      </c>
      <c r="U3" s="992"/>
      <c r="V3" s="2935"/>
      <c r="W3" s="2935"/>
      <c r="X3" s="2935"/>
      <c r="Y3" s="2935"/>
      <c r="Z3" s="2935"/>
      <c r="AA3" s="2935"/>
      <c r="AB3" s="2935"/>
      <c r="AC3" s="2936"/>
      <c r="AD3" s="2934">
        <f>INDEX(PT_DIFFERENTIATION_TER,MATCH(B3,PT_DIFFERENTIATION_TER_ID,0))</f>
      </c>
      <c r="AE3" s="2935"/>
      <c r="AF3" s="2935"/>
      <c r="AG3" s="2935"/>
      <c r="AH3" s="2935"/>
      <c r="AI3" s="2935"/>
      <c r="AJ3" s="2935"/>
      <c r="AK3" s="2935"/>
      <c r="AL3" s="2935"/>
      <c r="AM3" s="2935"/>
      <c r="AN3" s="2935"/>
      <c r="AO3" s="2935"/>
      <c r="AP3" s="2935"/>
      <c r="AQ3" s="2935"/>
      <c r="AR3" s="2935"/>
      <c r="AS3" s="2935"/>
      <c r="AT3" s="2935"/>
      <c r="AU3" s="2935"/>
      <c r="AV3" s="2935"/>
      <c r="AW3" s="2935"/>
      <c r="AX3" s="2935"/>
      <c r="AY3" s="2935"/>
      <c r="AZ3" s="2935"/>
      <c r="BA3" s="2935"/>
      <c r="BB3" s="2936"/>
      <c r="BC3" s="1950" t="s">
        <v>473</v>
      </c>
      <c r="BE3" s="1192"/>
      <c r="BF3" s="1192" t="str">
        <f>IF(T3="","",T3)</f>
        <v>Территория действия тарифа</v>
      </c>
      <c r="BG3" s="1192"/>
      <c r="BH3" s="1192"/>
      <c r="BI3" s="1847">
        <v>0</v>
      </c>
    </row>
    <row customHeight="1" ht="33.75" hidden="1">
      <c r="A4" s="2055"/>
      <c r="B4" s="2055"/>
      <c r="C4" s="2055"/>
      <c r="D4" s="2055"/>
      <c r="E4" s="2951"/>
      <c r="F4" s="2951"/>
      <c r="G4" s="2950">
        <v>1</v>
      </c>
      <c r="H4" s="2055"/>
      <c r="I4" s="2055"/>
      <c r="J4" s="2055"/>
      <c r="K4" s="2055"/>
      <c r="L4" s="2056"/>
      <c r="M4" s="2057"/>
      <c r="N4" s="2057"/>
      <c r="O4" s="2057"/>
      <c r="P4" s="2104"/>
      <c r="Q4" s="2103"/>
      <c r="R4" s="1045"/>
      <c r="S4" s="2185">
        <f>INDEX(PT_DIFFERENTIATION_NUM_CS,MATCH(C4,PT_DIFFERENTIATION_CS_ID,0))</f>
      </c>
      <c r="T4" s="1001" t="s">
        <v>590</v>
      </c>
      <c r="U4" s="992"/>
      <c r="V4" s="2935"/>
      <c r="W4" s="2935"/>
      <c r="X4" s="2935"/>
      <c r="Y4" s="2935"/>
      <c r="Z4" s="2935"/>
      <c r="AA4" s="2935"/>
      <c r="AB4" s="2935"/>
      <c r="AC4" s="2936"/>
      <c r="AD4" s="2934">
        <f>INDEX(PT_DIFFERENTIATION_CS,MATCH(C4,PT_DIFFERENTIATION_CS_ID,0))</f>
      </c>
      <c r="AE4" s="2935"/>
      <c r="AF4" s="2935"/>
      <c r="AG4" s="2935"/>
      <c r="AH4" s="2935"/>
      <c r="AI4" s="2935"/>
      <c r="AJ4" s="2935"/>
      <c r="AK4" s="2935"/>
      <c r="AL4" s="2935"/>
      <c r="AM4" s="2935"/>
      <c r="AN4" s="2935"/>
      <c r="AO4" s="2935"/>
      <c r="AP4" s="2935"/>
      <c r="AQ4" s="2935"/>
      <c r="AR4" s="2935"/>
      <c r="AS4" s="2935"/>
      <c r="AT4" s="2935"/>
      <c r="AU4" s="2935"/>
      <c r="AV4" s="2935"/>
      <c r="AW4" s="2935"/>
      <c r="AX4" s="2935"/>
      <c r="AY4" s="2935"/>
      <c r="AZ4" s="2935"/>
      <c r="BA4" s="2935"/>
      <c r="BB4" s="2936"/>
      <c r="BC4" s="1950" t="s">
        <v>591</v>
      </c>
      <c r="BE4" s="1192"/>
      <c r="BF4" s="1192" t="str">
        <f>IF(T4="","",T4)</f>
        <v>Наименование централизованной системы водоотведения</v>
      </c>
      <c r="BG4" s="1192"/>
      <c r="BH4" s="1192"/>
      <c r="BI4" s="1847">
        <v>0</v>
      </c>
    </row>
    <row s="61695" customFormat="1" customHeight="1" ht="14.25" hidden="1">
      <c r="A5" s="2035"/>
      <c r="B5" s="2035"/>
      <c r="C5" s="2035"/>
      <c r="D5" s="2035"/>
      <c r="E5" s="2951"/>
      <c r="F5" s="2951"/>
      <c r="G5" s="2951"/>
      <c r="H5" s="2950">
        <v>1</v>
      </c>
      <c r="I5" s="2035"/>
      <c r="J5" s="2035"/>
      <c r="K5" s="2035"/>
      <c r="L5" s="2038"/>
      <c r="M5" s="2007"/>
      <c r="N5" s="2007"/>
      <c r="O5" s="2007"/>
      <c r="P5" s="2189"/>
      <c r="Q5" s="2190"/>
      <c r="R5" s="1049"/>
      <c r="S5" s="1734"/>
      <c r="T5" s="2191"/>
      <c r="U5" s="2076"/>
      <c r="V5" s="2989"/>
      <c r="W5" s="2989"/>
      <c r="X5" s="2989"/>
      <c r="Y5" s="2989"/>
      <c r="Z5" s="2989"/>
      <c r="AA5" s="2989"/>
      <c r="AB5" s="2989"/>
      <c r="AC5" s="2990"/>
      <c r="AD5" s="2988"/>
      <c r="AE5" s="2989"/>
      <c r="AF5" s="2989"/>
      <c r="AG5" s="2989"/>
      <c r="AH5" s="2989"/>
      <c r="AI5" s="2989"/>
      <c r="AJ5" s="2989"/>
      <c r="AK5" s="2989"/>
      <c r="AL5" s="2989"/>
      <c r="AM5" s="2989"/>
      <c r="AN5" s="2989"/>
      <c r="AO5" s="2989"/>
      <c r="AP5" s="2989"/>
      <c r="AQ5" s="2989"/>
      <c r="AR5" s="2989"/>
      <c r="AS5" s="2989"/>
      <c r="AT5" s="2989"/>
      <c r="AU5" s="2989"/>
      <c r="AV5" s="2989"/>
      <c r="AW5" s="2989"/>
      <c r="AX5" s="2989"/>
      <c r="AY5" s="2989"/>
      <c r="AZ5" s="2989"/>
      <c r="BA5" s="2989"/>
      <c r="BB5" s="2990"/>
      <c r="BC5" s="2077" t="s">
        <v>477</v>
      </c>
      <c r="BE5" s="1192"/>
      <c r="BF5" s="1192" t="str">
        <f>IF(T5="","",T5)</f>
        <v/>
      </c>
      <c r="BG5" s="1192"/>
      <c r="BH5" s="1192"/>
      <c r="BI5" s="1203">
        <v>0</v>
      </c>
    </row>
    <row s="61695" customFormat="1" customHeight="1" ht="14.25" hidden="1">
      <c r="A6" s="2035"/>
      <c r="B6" s="2035"/>
      <c r="C6" s="2035"/>
      <c r="D6" s="2035"/>
      <c r="E6" s="2951"/>
      <c r="F6" s="2951"/>
      <c r="G6" s="2951"/>
      <c r="H6" s="2951"/>
      <c r="I6" s="2948" t="str">
        <f>S5&amp;".1"</f>
        <v>.1</v>
      </c>
      <c r="J6" s="2035"/>
      <c r="K6" s="2035"/>
      <c r="L6" s="2038" t="s">
        <v>478</v>
      </c>
      <c r="M6" s="1202"/>
      <c r="N6" s="1202"/>
      <c r="O6" s="1202"/>
      <c r="P6" s="2949">
        <v>1</v>
      </c>
      <c r="Q6" s="2173"/>
      <c r="R6" s="1048"/>
      <c r="S6" s="1734"/>
      <c r="T6" s="2075"/>
      <c r="U6" s="2076"/>
      <c r="V6" s="2989"/>
      <c r="W6" s="2989"/>
      <c r="X6" s="2989"/>
      <c r="Y6" s="2989"/>
      <c r="Z6" s="2989"/>
      <c r="AA6" s="2989"/>
      <c r="AB6" s="2989"/>
      <c r="AC6" s="2990"/>
      <c r="AD6" s="2988"/>
      <c r="AE6" s="2989"/>
      <c r="AF6" s="2989"/>
      <c r="AG6" s="2989"/>
      <c r="AH6" s="2989"/>
      <c r="AI6" s="2989"/>
      <c r="AJ6" s="2989"/>
      <c r="AK6" s="2989"/>
      <c r="AL6" s="2989"/>
      <c r="AM6" s="2989"/>
      <c r="AN6" s="2989"/>
      <c r="AO6" s="2989"/>
      <c r="AP6" s="2989"/>
      <c r="AQ6" s="2989"/>
      <c r="AR6" s="2989"/>
      <c r="AS6" s="2989"/>
      <c r="AT6" s="2989"/>
      <c r="AU6" s="2989"/>
      <c r="AV6" s="2989"/>
      <c r="AW6" s="2989"/>
      <c r="AX6" s="2989"/>
      <c r="AY6" s="2989"/>
      <c r="AZ6" s="2989"/>
      <c r="BA6" s="2989"/>
      <c r="BB6" s="2990"/>
      <c r="BC6" s="2077"/>
      <c r="BE6" s="1192"/>
      <c r="BF6" s="1192" t="str">
        <f>IF(T6="","",T6)</f>
        <v/>
      </c>
      <c r="BG6" s="1192"/>
      <c r="BH6" s="1192"/>
      <c r="BI6" s="1203">
        <v>0</v>
      </c>
    </row>
    <row s="61695" customFormat="1" customHeight="1" ht="14.25" hidden="1">
      <c r="A7" s="2035"/>
      <c r="B7" s="2035"/>
      <c r="C7" s="2035"/>
      <c r="D7" s="2035"/>
      <c r="E7" s="2951"/>
      <c r="F7" s="2951"/>
      <c r="G7" s="2951"/>
      <c r="H7" s="2951"/>
      <c r="I7" s="2978"/>
      <c r="J7" s="2948" t="str">
        <f>S5&amp;".1"</f>
        <v>.1</v>
      </c>
      <c r="K7" s="2035"/>
      <c r="L7" s="2038"/>
      <c r="M7" s="1202"/>
      <c r="N7" s="1202"/>
      <c r="O7" s="1202"/>
      <c r="P7" s="2949"/>
      <c r="Q7" s="2949">
        <v>1</v>
      </c>
      <c r="R7" s="1049"/>
      <c r="S7" s="1734"/>
      <c r="T7" s="2091"/>
      <c r="U7" s="2076"/>
      <c r="V7" s="2989"/>
      <c r="W7" s="2989"/>
      <c r="X7" s="2989"/>
      <c r="Y7" s="2989"/>
      <c r="Z7" s="2989"/>
      <c r="AA7" s="2989"/>
      <c r="AB7" s="2989"/>
      <c r="AC7" s="2990"/>
      <c r="AD7" s="2988"/>
      <c r="AE7" s="2989"/>
      <c r="AF7" s="2989"/>
      <c r="AG7" s="2989"/>
      <c r="AH7" s="2989"/>
      <c r="AI7" s="2989"/>
      <c r="AJ7" s="2989"/>
      <c r="AK7" s="2989"/>
      <c r="AL7" s="2989"/>
      <c r="AM7" s="2989"/>
      <c r="AN7" s="2989"/>
      <c r="AO7" s="2989"/>
      <c r="AP7" s="2989"/>
      <c r="AQ7" s="2989"/>
      <c r="AR7" s="2989"/>
      <c r="AS7" s="2989"/>
      <c r="AT7" s="2989"/>
      <c r="AU7" s="2989"/>
      <c r="AV7" s="2989"/>
      <c r="AW7" s="2989"/>
      <c r="AX7" s="2989"/>
      <c r="AY7" s="2989"/>
      <c r="AZ7" s="2989"/>
      <c r="BA7" s="2989"/>
      <c r="BB7" s="2990"/>
      <c r="BC7" s="2077"/>
      <c r="BE7" s="1192"/>
      <c r="BF7" s="1192" t="str">
        <f>IF(T7="","",T7)</f>
        <v/>
      </c>
      <c r="BG7" s="1192"/>
      <c r="BH7" s="1192"/>
      <c r="BI7" s="1203">
        <v>0</v>
      </c>
    </row>
    <row customHeight="1" ht="11.25" hidden="1">
      <c r="A8" s="2055"/>
      <c r="B8" s="2055"/>
      <c r="C8" s="2055"/>
      <c r="D8" s="2055"/>
      <c r="E8" s="2951"/>
      <c r="F8" s="2951"/>
      <c r="G8" s="2951"/>
      <c r="H8" s="2951"/>
      <c r="I8" s="2978"/>
      <c r="J8" s="2978"/>
      <c r="K8" s="2948">
        <f>S4&amp;".1"</f>
      </c>
      <c r="L8" s="2056"/>
      <c r="P8" s="2949"/>
      <c r="Q8" s="2949"/>
      <c r="R8" s="3039">
        <v>1</v>
      </c>
      <c r="S8" s="3033">
        <f>$K8</f>
      </c>
      <c r="T8" s="3052"/>
      <c r="U8" s="992"/>
      <c r="V8" s="1443"/>
      <c r="W8" s="1949"/>
      <c r="X8" s="1443"/>
      <c r="Y8" s="1949"/>
      <c r="Z8" s="2426"/>
      <c r="AA8" s="2161" t="s">
        <v>67</v>
      </c>
      <c r="AB8" s="2426"/>
      <c r="AC8" s="2161" t="s">
        <v>67</v>
      </c>
      <c r="AD8" s="2877" t="s">
        <v>67</v>
      </c>
      <c r="AE8" s="3018"/>
      <c r="AF8" s="2897">
        <v>1</v>
      </c>
      <c r="AG8" s="3055"/>
      <c r="AH8" s="2799" t="s">
        <v>67</v>
      </c>
      <c r="AI8" s="3018"/>
      <c r="AJ8" s="2897">
        <v>1</v>
      </c>
      <c r="AK8" s="3019" t="s">
        <v>28</v>
      </c>
      <c r="AL8" s="2799" t="s">
        <v>67</v>
      </c>
      <c r="AM8" s="2884"/>
      <c r="AN8" s="2897">
        <v>1</v>
      </c>
      <c r="AO8" s="3049"/>
      <c r="AP8" s="3050" t="s">
        <v>67</v>
      </c>
      <c r="AQ8" s="1003"/>
      <c r="AR8" s="2178">
        <v>1</v>
      </c>
      <c r="AS8" s="2184" t="s">
        <v>28</v>
      </c>
      <c r="AT8" s="1443"/>
      <c r="AU8" s="1949"/>
      <c r="AV8" s="1443"/>
      <c r="AW8" s="1949"/>
      <c r="AX8" s="2426"/>
      <c r="AY8" s="2161" t="s">
        <v>67</v>
      </c>
      <c r="AZ8" s="2426"/>
      <c r="BA8" s="2161" t="s">
        <v>67</v>
      </c>
      <c r="BB8" s="2040"/>
      <c r="BC8" s="2945" t="s">
        <v>575</v>
      </c>
      <c r="BE8" s="1192"/>
      <c r="BF8" s="1192" t="str">
        <f>IF(T8="","",T8)</f>
        <v/>
      </c>
      <c r="BG8" s="1192"/>
      <c r="BH8" s="1192"/>
      <c r="BI8" s="1847">
        <v>0</v>
      </c>
    </row>
    <row customHeight="1" ht="11.25" hidden="1">
      <c r="A9" s="2055"/>
      <c r="B9" s="2055"/>
      <c r="C9" s="2055"/>
      <c r="D9" s="2055"/>
      <c r="E9" s="2951"/>
      <c r="F9" s="2951"/>
      <c r="G9" s="2951"/>
      <c r="H9" s="2951"/>
      <c r="I9" s="2978"/>
      <c r="J9" s="2978"/>
      <c r="K9" s="2948"/>
      <c r="L9" s="2056"/>
      <c r="P9" s="2949"/>
      <c r="Q9" s="2949"/>
      <c r="R9" s="3039"/>
      <c r="S9" s="3034"/>
      <c r="T9" s="3053"/>
      <c r="U9" s="992"/>
      <c r="V9" s="2085"/>
      <c r="W9" s="2188"/>
      <c r="X9" s="2085"/>
      <c r="Y9" s="2188"/>
      <c r="Z9" s="2085"/>
      <c r="AA9" s="2085"/>
      <c r="AB9" s="2085"/>
      <c r="AC9" s="2085"/>
      <c r="AD9" s="2878"/>
      <c r="AE9" s="3018"/>
      <c r="AF9" s="2897"/>
      <c r="AG9" s="3055"/>
      <c r="AH9" s="2799"/>
      <c r="AI9" s="3018"/>
      <c r="AJ9" s="2897"/>
      <c r="AK9" s="3019"/>
      <c r="AL9" s="2799"/>
      <c r="AM9" s="2892"/>
      <c r="AN9" s="2897"/>
      <c r="AO9" s="3049"/>
      <c r="AP9" s="3051"/>
      <c r="AQ9" s="1008"/>
      <c r="AR9" s="1108"/>
      <c r="AS9" s="1108" t="s">
        <v>576</v>
      </c>
      <c r="AT9" s="2085"/>
      <c r="AU9" s="2188"/>
      <c r="AV9" s="2085"/>
      <c r="AW9" s="2188"/>
      <c r="AX9" s="2085"/>
      <c r="AY9" s="2085"/>
      <c r="AZ9" s="2085"/>
      <c r="BA9" s="2085"/>
      <c r="BB9" s="2089"/>
      <c r="BC9" s="2946"/>
      <c r="BE9" s="1192"/>
      <c r="BF9" s="1192"/>
      <c r="BG9" s="1192"/>
      <c r="BH9" s="1192"/>
      <c r="BI9" s="1847">
        <v>0</v>
      </c>
    </row>
    <row customHeight="1" ht="11.25" hidden="1">
      <c r="A10" s="2055"/>
      <c r="B10" s="2055"/>
      <c r="C10" s="2055"/>
      <c r="D10" s="2055"/>
      <c r="E10" s="2951"/>
      <c r="F10" s="2951"/>
      <c r="G10" s="2951"/>
      <c r="H10" s="2951"/>
      <c r="I10" s="2978"/>
      <c r="J10" s="2978"/>
      <c r="K10" s="2948"/>
      <c r="L10" s="2056"/>
      <c r="P10" s="2949"/>
      <c r="Q10" s="2949"/>
      <c r="R10" s="3039"/>
      <c r="S10" s="3034"/>
      <c r="T10" s="3053"/>
      <c r="U10" s="992"/>
      <c r="V10" s="2085"/>
      <c r="W10" s="2188"/>
      <c r="X10" s="2085"/>
      <c r="Y10" s="2188"/>
      <c r="Z10" s="2085"/>
      <c r="AA10" s="2085"/>
      <c r="AB10" s="2085"/>
      <c r="AC10" s="2085"/>
      <c r="AD10" s="2878"/>
      <c r="AE10" s="3018"/>
      <c r="AF10" s="2897"/>
      <c r="AG10" s="3055"/>
      <c r="AH10" s="2799"/>
      <c r="AI10" s="3018"/>
      <c r="AJ10" s="2897"/>
      <c r="AK10" s="3019"/>
      <c r="AL10" s="2799"/>
      <c r="AM10" s="1008"/>
      <c r="AN10" s="2192"/>
      <c r="AO10" s="2192" t="s">
        <v>596</v>
      </c>
      <c r="AP10" s="1108"/>
      <c r="AQ10" s="1108"/>
      <c r="AR10" s="1108"/>
      <c r="AS10" s="2085"/>
      <c r="AT10" s="2085"/>
      <c r="AU10" s="2188"/>
      <c r="AV10" s="2085"/>
      <c r="AW10" s="2188"/>
      <c r="AX10" s="2085"/>
      <c r="AY10" s="2085"/>
      <c r="AZ10" s="2085"/>
      <c r="BA10" s="2085"/>
      <c r="BB10" s="2089"/>
      <c r="BC10" s="2946"/>
      <c r="BE10" s="1192"/>
      <c r="BF10" s="1192"/>
      <c r="BG10" s="1192"/>
      <c r="BH10" s="1192"/>
      <c r="BI10" s="1847">
        <v>0</v>
      </c>
    </row>
    <row customHeight="1" ht="11.25" hidden="1">
      <c r="A11" s="2055"/>
      <c r="B11" s="2055"/>
      <c r="C11" s="2055"/>
      <c r="D11" s="2055"/>
      <c r="E11" s="2951"/>
      <c r="F11" s="2951"/>
      <c r="G11" s="2951"/>
      <c r="H11" s="2951"/>
      <c r="I11" s="2978"/>
      <c r="J11" s="2978"/>
      <c r="K11" s="2948"/>
      <c r="L11" s="2056"/>
      <c r="P11" s="2949"/>
      <c r="Q11" s="2949"/>
      <c r="R11" s="3039"/>
      <c r="S11" s="3034"/>
      <c r="T11" s="3053"/>
      <c r="U11" s="992"/>
      <c r="V11" s="2085"/>
      <c r="W11" s="2188"/>
      <c r="X11" s="2085"/>
      <c r="Y11" s="2188"/>
      <c r="Z11" s="2085"/>
      <c r="AA11" s="2085"/>
      <c r="AB11" s="2085"/>
      <c r="AC11" s="2085"/>
      <c r="AD11" s="2878"/>
      <c r="AE11" s="3018"/>
      <c r="AF11" s="2897"/>
      <c r="AG11" s="3055"/>
      <c r="AH11" s="2799"/>
      <c r="AI11" s="986"/>
      <c r="AJ11" s="1107"/>
      <c r="AK11" s="1005" t="s">
        <v>597</v>
      </c>
      <c r="AL11" s="2085"/>
      <c r="AM11" s="2085"/>
      <c r="AN11" s="2085"/>
      <c r="AO11" s="2085"/>
      <c r="AP11" s="2085"/>
      <c r="AQ11" s="2085"/>
      <c r="AR11" s="2085"/>
      <c r="AS11" s="2085"/>
      <c r="AT11" s="2085"/>
      <c r="AU11" s="2188"/>
      <c r="AV11" s="2085"/>
      <c r="AW11" s="2188"/>
      <c r="AX11" s="2085"/>
      <c r="AY11" s="2085"/>
      <c r="AZ11" s="2085"/>
      <c r="BA11" s="2085"/>
      <c r="BB11" s="2089"/>
      <c r="BC11" s="2946"/>
      <c r="BE11" s="1192"/>
      <c r="BF11" s="1192"/>
      <c r="BG11" s="1192"/>
      <c r="BH11" s="1192"/>
      <c r="BI11" s="1847">
        <v>0</v>
      </c>
    </row>
    <row customHeight="1" ht="11.25" hidden="1">
      <c r="A12" s="2055"/>
      <c r="B12" s="2055"/>
      <c r="C12" s="2055"/>
      <c r="D12" s="2055"/>
      <c r="E12" s="2951"/>
      <c r="F12" s="2951"/>
      <c r="G12" s="2951"/>
      <c r="H12" s="2951"/>
      <c r="I12" s="2978"/>
      <c r="J12" s="2978"/>
      <c r="K12" s="2948"/>
      <c r="L12" s="2056"/>
      <c r="P12" s="2949"/>
      <c r="Q12" s="2949"/>
      <c r="R12" s="3039"/>
      <c r="S12" s="3035"/>
      <c r="T12" s="3054"/>
      <c r="U12" s="992"/>
      <c r="V12" s="2085"/>
      <c r="W12" s="2086" t="str">
        <f>Z8&amp;"-"&amp;AB8</f>
        <v>-</v>
      </c>
      <c r="X12" s="2085"/>
      <c r="Y12" s="2086" t="str">
        <f>AB8&amp;"-"&amp;AD8</f>
        <v>-да</v>
      </c>
      <c r="Z12" s="2085"/>
      <c r="AA12" s="2085"/>
      <c r="AB12" s="2085"/>
      <c r="AC12" s="2085"/>
      <c r="AD12" s="2804"/>
      <c r="AE12" s="1004"/>
      <c r="AF12" s="1006"/>
      <c r="AG12" s="1108" t="s">
        <v>579</v>
      </c>
      <c r="AH12" s="2085"/>
      <c r="AI12" s="2085"/>
      <c r="AJ12" s="2085"/>
      <c r="AK12" s="2085"/>
      <c r="AL12" s="2085"/>
      <c r="AM12" s="2085"/>
      <c r="AN12" s="2085"/>
      <c r="AO12" s="2085"/>
      <c r="AP12" s="2085"/>
      <c r="AQ12" s="2085"/>
      <c r="AR12" s="2085"/>
      <c r="AS12" s="2085"/>
      <c r="AT12" s="2085"/>
      <c r="AU12" s="2086" t="str">
        <f>AX8&amp;"-"&amp;AZ8</f>
        <v>-</v>
      </c>
      <c r="AV12" s="2085"/>
      <c r="AW12" s="2086" t="str">
        <f>AZ8&amp;"-"&amp;BB8</f>
        <v>-</v>
      </c>
      <c r="AX12" s="2085"/>
      <c r="AY12" s="2085"/>
      <c r="AZ12" s="2085"/>
      <c r="BA12" s="2085"/>
      <c r="BB12" s="2088" t="str">
        <f>BE8&amp;"-"&amp;BG8</f>
        <v>-</v>
      </c>
      <c r="BC12" s="2946"/>
      <c r="BE12" s="1192"/>
      <c r="BF12" s="1192" t="str">
        <f>IF(T12="","",T12)</f>
        <v/>
      </c>
      <c r="BG12" s="1192"/>
      <c r="BH12" s="1192"/>
      <c r="BI12" s="1847">
        <v>0</v>
      </c>
    </row>
    <row customHeight="1" ht="11.25" hidden="1">
      <c r="A13" s="2055"/>
      <c r="B13" s="2055"/>
      <c r="C13" s="2055"/>
      <c r="D13" s="2055"/>
      <c r="E13" s="2951"/>
      <c r="F13" s="2951"/>
      <c r="G13" s="2951"/>
      <c r="H13" s="2951"/>
      <c r="I13" s="2978"/>
      <c r="J13" s="2948"/>
      <c r="K13" s="2055"/>
      <c r="L13" s="2056"/>
      <c r="P13" s="2949"/>
      <c r="Q13" s="2949"/>
      <c r="R13" s="1048"/>
      <c r="S13" s="1970"/>
      <c r="T13" s="979" t="s">
        <v>542</v>
      </c>
      <c r="U13" s="1059"/>
      <c r="V13" s="1059"/>
      <c r="W13" s="1059"/>
      <c r="X13" s="1059"/>
      <c r="Y13" s="1059"/>
      <c r="Z13" s="1059"/>
      <c r="AA13" s="1059"/>
      <c r="AB13" s="1059"/>
      <c r="AC13" s="1059"/>
      <c r="AD13" s="2197"/>
      <c r="AE13" s="1059"/>
      <c r="AF13" s="1059"/>
      <c r="AG13" s="1059"/>
      <c r="AH13" s="1059"/>
      <c r="AI13" s="1059"/>
      <c r="AJ13" s="1059"/>
      <c r="AK13" s="1059"/>
      <c r="AL13" s="1059"/>
      <c r="AM13" s="1059"/>
      <c r="AN13" s="1059"/>
      <c r="AO13" s="1059"/>
      <c r="AP13" s="1059"/>
      <c r="AQ13" s="1059"/>
      <c r="AR13" s="1059"/>
      <c r="AS13" s="1059"/>
      <c r="AT13" s="1059"/>
      <c r="AU13" s="1059"/>
      <c r="AV13" s="1059"/>
      <c r="AW13" s="1059"/>
      <c r="AX13" s="1059"/>
      <c r="AY13" s="1059"/>
      <c r="AZ13" s="1059"/>
      <c r="BA13" s="1059"/>
      <c r="BB13" s="1016"/>
      <c r="BC13" s="2947"/>
      <c r="BE13" s="1192"/>
      <c r="BF13" s="1192" t="str">
        <f>IF(T13="","",T13)</f>
        <v>Добавить строку</v>
      </c>
      <c r="BG13" s="1192"/>
      <c r="BH13" s="1192"/>
      <c r="BI13" s="1847">
        <v>0</v>
      </c>
    </row>
    <row s="61695" customFormat="1" customHeight="1" ht="14.25" hidden="1">
      <c r="A14" s="2035"/>
      <c r="B14" s="2035"/>
      <c r="C14" s="2035"/>
      <c r="D14" s="2035"/>
      <c r="E14" s="2951"/>
      <c r="F14" s="2951"/>
      <c r="G14" s="2951"/>
      <c r="H14" s="2951"/>
      <c r="I14" s="2948"/>
      <c r="J14" s="2035"/>
      <c r="K14" s="2035"/>
      <c r="L14" s="2038"/>
      <c r="M14" s="1202"/>
      <c r="N14" s="1202"/>
      <c r="O14" s="1202"/>
      <c r="P14" s="2949"/>
      <c r="Q14" s="2173"/>
      <c r="R14" s="1048"/>
      <c r="S14" s="2078"/>
      <c r="T14" s="2079"/>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c r="AP14" s="2080"/>
      <c r="AQ14" s="2080"/>
      <c r="AR14" s="2080"/>
      <c r="AS14" s="2080"/>
      <c r="AT14" s="2080"/>
      <c r="AU14" s="2080"/>
      <c r="AV14" s="2080"/>
      <c r="AW14" s="2080"/>
      <c r="AX14" s="2080"/>
      <c r="AY14" s="2080"/>
      <c r="AZ14" s="2080"/>
      <c r="BA14" s="2080"/>
      <c r="BB14" s="2080"/>
      <c r="BC14" s="2081"/>
      <c r="BE14" s="1192"/>
      <c r="BF14" s="1192" t="str">
        <f>IF(T14="","",T14)</f>
        <v/>
      </c>
      <c r="BG14" s="1192"/>
      <c r="BH14" s="1192"/>
      <c r="BI14" s="1203">
        <v>0</v>
      </c>
    </row>
    <row s="61695" customFormat="1" customHeight="1" ht="14.25" hidden="1">
      <c r="A15" s="2035"/>
      <c r="B15" s="2035"/>
      <c r="C15" s="2035"/>
      <c r="D15" s="2035"/>
      <c r="E15" s="2951"/>
      <c r="F15" s="2951"/>
      <c r="G15" s="2951"/>
      <c r="H15" s="2950"/>
      <c r="I15" s="2035"/>
      <c r="J15" s="2035"/>
      <c r="K15" s="2035"/>
      <c r="L15" s="2038"/>
      <c r="M15" s="2007"/>
      <c r="N15" s="2007"/>
      <c r="O15" s="1210"/>
      <c r="P15" s="1072"/>
      <c r="Q15" s="2036"/>
      <c r="R15" s="2093"/>
      <c r="S15" s="2078"/>
      <c r="T15" s="2079"/>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c r="AP15" s="2080"/>
      <c r="AQ15" s="2080"/>
      <c r="AR15" s="2080"/>
      <c r="AS15" s="2080"/>
      <c r="AT15" s="2080"/>
      <c r="AU15" s="2080"/>
      <c r="AV15" s="2080"/>
      <c r="AW15" s="2080"/>
      <c r="AX15" s="2080"/>
      <c r="AY15" s="2080"/>
      <c r="AZ15" s="2080"/>
      <c r="BA15" s="2080"/>
      <c r="BB15" s="2080"/>
      <c r="BC15" s="2081"/>
      <c r="BE15" s="1192"/>
      <c r="BF15" s="1192" t="str">
        <f>IF(T15="","",T15)</f>
        <v/>
      </c>
      <c r="BG15" s="1192"/>
      <c r="BH15" s="1192"/>
      <c r="BI15" s="1203">
        <v>0</v>
      </c>
    </row>
    <row s="61695" customFormat="1" customHeight="1" ht="14.25" hidden="1">
      <c r="A16" s="2035"/>
      <c r="B16" s="2035"/>
      <c r="C16" s="2035"/>
      <c r="D16" s="2006"/>
      <c r="E16" s="2951"/>
      <c r="F16" s="2951"/>
      <c r="G16" s="2950"/>
      <c r="H16" s="2006"/>
      <c r="I16" s="2006"/>
      <c r="J16" s="2006"/>
      <c r="K16" s="2006"/>
      <c r="L16" s="2186"/>
      <c r="M16" s="2007"/>
      <c r="N16" s="2007"/>
      <c r="P16" s="2008"/>
      <c r="Q16" s="2009"/>
      <c r="R16" s="2008"/>
      <c r="S16" s="2014"/>
      <c r="T16" s="2017"/>
      <c r="U16" s="2016"/>
      <c r="V16" s="2016"/>
      <c r="W16" s="2016"/>
      <c r="X16" s="2016"/>
      <c r="Y16" s="2016"/>
      <c r="Z16" s="2016"/>
      <c r="AA16" s="2016"/>
      <c r="AB16" s="2016"/>
      <c r="AC16" s="2016"/>
      <c r="AD16" s="2016"/>
      <c r="AE16" s="2016"/>
      <c r="AF16" s="2016"/>
      <c r="AG16" s="2016"/>
      <c r="AH16" s="2016"/>
      <c r="AI16" s="2016"/>
      <c r="AJ16" s="2016"/>
      <c r="AK16" s="2016"/>
      <c r="AL16" s="2016"/>
      <c r="AM16" s="2016"/>
      <c r="AN16" s="2016"/>
      <c r="AO16" s="2016"/>
      <c r="AP16" s="2016"/>
      <c r="AQ16" s="2016"/>
      <c r="AR16" s="2016"/>
      <c r="AS16" s="2016"/>
      <c r="AT16" s="2016"/>
      <c r="AU16" s="2016"/>
      <c r="AV16" s="2016"/>
      <c r="AW16" s="2016"/>
      <c r="AX16" s="2016"/>
      <c r="AY16" s="2016"/>
      <c r="AZ16" s="2016"/>
      <c r="BA16" s="2016"/>
      <c r="BB16" s="2016"/>
      <c r="BC16" s="2016"/>
      <c r="BE16" s="1481"/>
      <c r="BF16" s="1481" t="str">
        <f>IF(T16="","",T16)</f>
        <v/>
      </c>
      <c r="BG16" s="1481"/>
      <c r="BH16" s="1481"/>
      <c r="BI16" s="1210">
        <v>0</v>
      </c>
    </row>
    <row s="61695" customFormat="1" customHeight="1" ht="14.25" hidden="1">
      <c r="A17" s="2035"/>
      <c r="B17" s="2035"/>
      <c r="C17" s="2006"/>
      <c r="D17" s="2006"/>
      <c r="E17" s="2951"/>
      <c r="F17" s="2950"/>
      <c r="G17" s="2006"/>
      <c r="H17" s="2006"/>
      <c r="I17" s="2006"/>
      <c r="J17" s="2006"/>
      <c r="K17" s="2006"/>
      <c r="L17" s="2186"/>
      <c r="M17" s="2013"/>
      <c r="N17" s="2013"/>
      <c r="P17" s="2008"/>
      <c r="Q17" s="2009"/>
      <c r="R17" s="2008"/>
      <c r="S17" s="2014"/>
      <c r="T17" s="2017" t="s">
        <v>172</v>
      </c>
      <c r="U17" s="2016"/>
      <c r="V17" s="2016"/>
      <c r="W17" s="2016"/>
      <c r="X17" s="2016"/>
      <c r="Y17" s="2016"/>
      <c r="Z17" s="2016"/>
      <c r="AA17" s="2016"/>
      <c r="AB17" s="2016"/>
      <c r="AC17" s="2016"/>
      <c r="AD17" s="2016"/>
      <c r="AE17" s="2016"/>
      <c r="AF17" s="2016"/>
      <c r="AG17" s="2016"/>
      <c r="AH17" s="2016"/>
      <c r="AI17" s="2016"/>
      <c r="AJ17" s="2016"/>
      <c r="AK17" s="2016"/>
      <c r="AL17" s="2016"/>
      <c r="AM17" s="2016"/>
      <c r="AN17" s="2016"/>
      <c r="AO17" s="2016"/>
      <c r="AP17" s="2016"/>
      <c r="AQ17" s="2016"/>
      <c r="AR17" s="2016"/>
      <c r="AS17" s="2016"/>
      <c r="AT17" s="2016"/>
      <c r="AU17" s="2016"/>
      <c r="AV17" s="2016"/>
      <c r="AW17" s="2016"/>
      <c r="AX17" s="2016"/>
      <c r="AY17" s="2016"/>
      <c r="AZ17" s="2016"/>
      <c r="BA17" s="2016"/>
      <c r="BB17" s="2016"/>
      <c r="BC17" s="2016"/>
      <c r="BE17" s="1481"/>
      <c r="BF17" s="1481" t="str">
        <f>IF(T17="","",T17)</f>
        <v>Добавить централизованную систему для дифференциации</v>
      </c>
      <c r="BG17" s="1481"/>
      <c r="BH17" s="1481"/>
      <c r="BI17" s="1210">
        <v>0</v>
      </c>
    </row>
    <row s="61695" customFormat="1" customHeight="1" ht="14.25" hidden="1">
      <c r="A18" s="2035"/>
      <c r="B18" s="2035"/>
      <c r="C18" s="2035"/>
      <c r="D18" s="2035"/>
      <c r="E18" s="2950"/>
      <c r="F18" s="2035"/>
      <c r="G18" s="2035"/>
      <c r="H18" s="2035"/>
      <c r="I18" s="2035"/>
      <c r="J18" s="2035"/>
      <c r="K18" s="2035"/>
      <c r="L18" s="2038"/>
      <c r="M18" s="2013"/>
      <c r="N18" s="2013"/>
      <c r="O18" s="1210"/>
      <c r="P18" s="1072"/>
      <c r="Q18" s="2036"/>
      <c r="R18" s="1072"/>
      <c r="S18" s="2014"/>
      <c r="T18" s="2017" t="s">
        <v>173</v>
      </c>
      <c r="U18" s="2016"/>
      <c r="V18" s="2016"/>
      <c r="W18" s="2016"/>
      <c r="X18" s="2016"/>
      <c r="Y18" s="2016"/>
      <c r="Z18" s="2016"/>
      <c r="AA18" s="2016"/>
      <c r="AB18" s="2016"/>
      <c r="AC18" s="2016"/>
      <c r="AD18" s="2016"/>
      <c r="AE18" s="2016"/>
      <c r="AF18" s="2016"/>
      <c r="AG18" s="2016"/>
      <c r="AH18" s="2016"/>
      <c r="AI18" s="2016"/>
      <c r="AJ18" s="2016"/>
      <c r="AK18" s="2016"/>
      <c r="AL18" s="2016"/>
      <c r="AM18" s="2016"/>
      <c r="AN18" s="2016"/>
      <c r="AO18" s="2016"/>
      <c r="AP18" s="2016"/>
      <c r="AQ18" s="2016"/>
      <c r="AR18" s="2016"/>
      <c r="AS18" s="2016"/>
      <c r="AT18" s="2016"/>
      <c r="AU18" s="2016"/>
      <c r="AV18" s="2016"/>
      <c r="AW18" s="2016"/>
      <c r="AX18" s="2016"/>
      <c r="AY18" s="2016"/>
      <c r="AZ18" s="2016"/>
      <c r="BA18" s="2016"/>
      <c r="BB18" s="2016"/>
      <c r="BC18" s="2016"/>
      <c r="BE18" s="1192"/>
      <c r="BF18" s="1192" t="str">
        <f>IF(T18="","",T18)</f>
        <v>Добавить территорию для дифференциации</v>
      </c>
      <c r="BG18" s="1192"/>
      <c r="BH18" s="1192"/>
      <c r="BI18" s="1203">
        <v>0</v>
      </c>
    </row>
    <row customHeight="1" ht="14.25" hidden="1">
      <c r="AC19" s="1019"/>
      <c r="BA19" s="1019"/>
      <c r="BI19" s="1847">
        <v>0</v>
      </c>
    </row>
    <row customHeight="1" ht="14.25" hidden="1">
      <c r="AD20" s="2016" t="s">
        <v>19</v>
      </c>
      <c r="AE20" s="2193"/>
      <c r="AF20" s="1240">
        <v>1</v>
      </c>
      <c r="AG20" s="2194"/>
      <c r="AH20" s="2016" t="s">
        <v>19</v>
      </c>
      <c r="AI20" s="2193"/>
      <c r="AJ20" s="1240">
        <v>1</v>
      </c>
      <c r="AK20" s="2194"/>
      <c r="AL20" s="2016" t="s">
        <v>19</v>
      </c>
      <c r="AM20" s="2195"/>
      <c r="AN20" s="1240">
        <v>1</v>
      </c>
      <c r="AO20" s="2196"/>
      <c r="AP20" s="2016" t="s">
        <v>19</v>
      </c>
      <c r="AQ20" s="2195"/>
      <c r="AR20" s="1240">
        <v>1</v>
      </c>
      <c r="AS20" s="2196"/>
      <c r="AT20" s="1017"/>
      <c r="AU20" s="1076"/>
      <c r="AV20" s="1017"/>
      <c r="AW20" s="1076"/>
      <c r="AX20" s="2428"/>
      <c r="AY20" s="2177" t="s">
        <v>67</v>
      </c>
      <c r="AZ20" s="2428"/>
      <c r="BA20" s="2177" t="s">
        <v>67</v>
      </c>
      <c r="BI20" s="1847">
        <v>0</v>
      </c>
    </row>
    <row customHeight="1" ht="14.25" hidden="1">
      <c r="BD21" s="1188"/>
      <c r="BE21" s="1188"/>
      <c r="BF21" s="1188"/>
      <c r="BG21" s="1188"/>
      <c r="BH21" s="1188"/>
      <c r="BI21" s="1847">
        <v>0</v>
      </c>
    </row>
    <row customHeight="1" ht="14.25" hidden="1">
      <c r="O22" s="2059" t="s">
        <v>489</v>
      </c>
      <c r="Z22" s="2037"/>
      <c r="AB22" s="2037"/>
      <c r="AC22" s="1019"/>
      <c r="AX22" s="2037"/>
      <c r="AZ22" s="2037"/>
      <c r="BA22" s="1019"/>
      <c r="BD22" s="1188"/>
      <c r="BE22" s="1188"/>
      <c r="BF22" s="1188"/>
      <c r="BG22" s="1188"/>
      <c r="BH22" s="1188"/>
      <c r="BI22" s="1847">
        <v>0</v>
      </c>
    </row>
    <row customHeight="1" ht="14.25" hidden="1">
      <c r="AC23" s="1019"/>
      <c r="BA23" s="1019"/>
      <c r="BD23" s="1188"/>
      <c r="BE23" s="1188"/>
      <c r="BF23" s="1188"/>
      <c r="BG23" s="1188"/>
      <c r="BH23" s="1188"/>
      <c r="BI23" s="1847">
        <v>0</v>
      </c>
    </row>
    <row s="61412" customFormat="1" customHeight="1" ht="14.25" hidden="1">
      <c r="M24" s="2200"/>
      <c r="N24" s="2200"/>
      <c r="O24" s="2201" t="s">
        <v>490</v>
      </c>
      <c r="P24" s="2200"/>
      <c r="Q24" s="2202"/>
      <c r="R24" s="2202"/>
      <c r="AA24" s="2199" t="s">
        <v>492</v>
      </c>
      <c r="AC24" s="2199" t="s">
        <v>493</v>
      </c>
      <c r="AD24" s="2199" t="s">
        <v>543</v>
      </c>
      <c r="AH24" s="2199" t="s">
        <v>543</v>
      </c>
      <c r="AK24" s="2199" t="s">
        <v>580</v>
      </c>
      <c r="AL24" s="2199" t="s">
        <v>543</v>
      </c>
      <c r="AP24" s="2199" t="s">
        <v>543</v>
      </c>
      <c r="AY24" s="2199" t="s">
        <v>492</v>
      </c>
      <c r="BA24" s="2199" t="s">
        <v>493</v>
      </c>
      <c r="BD24" s="2203"/>
      <c r="BE24" s="2203"/>
      <c r="BF24" s="2203"/>
      <c r="BG24" s="2203"/>
      <c r="BH24" s="2203"/>
      <c r="BI24" s="2199">
        <v>0</v>
      </c>
    </row>
    <row customHeight="1" ht="14.25" hidden="1">
      <c r="O25" s="2056"/>
      <c r="BD25" s="1188"/>
      <c r="BE25" s="1188"/>
      <c r="BF25" s="1188"/>
      <c r="BG25" s="1188"/>
      <c r="BH25" s="1188"/>
      <c r="BI25" s="1847">
        <v>0</v>
      </c>
    </row>
    <row customHeight="1" ht="14.25" hidden="1">
      <c r="O26" s="2056"/>
      <c r="BD26" s="1188"/>
      <c r="BE26" s="1188"/>
      <c r="BF26" s="1188"/>
      <c r="BG26" s="1188"/>
      <c r="BH26" s="1188"/>
      <c r="BI26" s="1847">
        <v>0</v>
      </c>
    </row>
    <row customHeight="1" ht="14.699999999999998">
      <c r="Q27" s="983"/>
      <c r="R27" s="1068"/>
      <c r="S27" s="1967"/>
      <c r="T27" s="1055"/>
      <c r="U27" s="1055"/>
      <c r="V27" s="1201"/>
      <c r="W27" s="1201"/>
      <c r="X27" s="1201"/>
      <c r="Y27" s="1201"/>
      <c r="Z27" s="1201"/>
      <c r="AA27" s="1201"/>
      <c r="AB27" s="1201"/>
      <c r="AC27" s="1201"/>
      <c r="AD27" s="1201"/>
      <c r="AE27" s="1201"/>
      <c r="AF27" s="1201"/>
      <c r="AG27" s="1201"/>
      <c r="AH27" s="1201"/>
      <c r="AI27" s="1201"/>
      <c r="AJ27" s="1201"/>
      <c r="AK27" s="1201"/>
      <c r="AL27" s="1201"/>
      <c r="AM27" s="1201"/>
      <c r="AN27" s="1201"/>
      <c r="AO27" s="1201"/>
      <c r="AP27" s="1201"/>
      <c r="AQ27" s="1201"/>
      <c r="AR27" s="1201"/>
      <c r="AS27" s="1201"/>
      <c r="AT27" s="1201"/>
      <c r="AU27" s="1201"/>
      <c r="AV27" s="1201"/>
      <c r="AW27" s="1201"/>
      <c r="AX27" s="1201"/>
      <c r="AY27" s="1201"/>
      <c r="AZ27" s="1201"/>
      <c r="BA27" s="1201"/>
      <c r="BI27" s="1847">
        <v>14</v>
      </c>
    </row>
    <row customHeight="1" ht="14.699999999999998">
      <c r="Q28" s="983"/>
      <c r="R28" s="1068"/>
      <c r="S28" s="294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940"/>
      <c r="U28" s="2940"/>
      <c r="V28" s="2940"/>
      <c r="W28" s="2940"/>
      <c r="X28" s="2940"/>
      <c r="Y28" s="2940"/>
      <c r="Z28" s="2940"/>
      <c r="AA28" s="2940"/>
      <c r="AB28" s="2940"/>
      <c r="AC28" s="2940"/>
      <c r="AD28" s="2940"/>
      <c r="AE28" s="2940"/>
      <c r="AF28" s="2940"/>
      <c r="AG28" s="2940"/>
      <c r="AH28" s="2940"/>
      <c r="AI28" s="2940"/>
      <c r="AJ28" s="2940"/>
      <c r="AK28" s="2940"/>
      <c r="AL28" s="2940"/>
      <c r="AM28" s="2940"/>
      <c r="AN28" s="2940"/>
      <c r="AO28" s="2940"/>
      <c r="AP28" s="2940"/>
      <c r="AQ28" s="2940"/>
      <c r="AR28" s="2940"/>
      <c r="AS28" s="2940"/>
      <c r="AT28" s="2940"/>
      <c r="AU28" s="2940"/>
      <c r="AV28" s="2940"/>
      <c r="AW28" s="2940"/>
      <c r="AX28" s="2940"/>
      <c r="AY28" s="2940"/>
      <c r="AZ28" s="2940"/>
      <c r="BA28" s="1935"/>
      <c r="BI28" s="1847">
        <v>14</v>
      </c>
    </row>
    <row customHeight="1" ht="14.699999999999998">
      <c r="Q29" s="983"/>
      <c r="R29" s="1068"/>
      <c r="S29" s="2941" t="str">
        <f>IF(org=0,"Не определено",org)</f>
        <v>АО "ДГК"</v>
      </c>
      <c r="T29" s="2941"/>
      <c r="U29" s="2941"/>
      <c r="V29" s="2941"/>
      <c r="W29" s="2941"/>
      <c r="X29" s="2941"/>
      <c r="Y29" s="2941"/>
      <c r="Z29" s="2941"/>
      <c r="AA29" s="2941"/>
      <c r="AB29" s="2941"/>
      <c r="AC29" s="2941"/>
      <c r="AD29" s="2941"/>
      <c r="AE29" s="2941"/>
      <c r="AF29" s="2941"/>
      <c r="AG29" s="2941"/>
      <c r="AH29" s="2941"/>
      <c r="AI29" s="2941"/>
      <c r="AJ29" s="2941"/>
      <c r="AK29" s="2941"/>
      <c r="AL29" s="2941"/>
      <c r="AM29" s="2941"/>
      <c r="AN29" s="2941"/>
      <c r="AO29" s="2941"/>
      <c r="AP29" s="2941"/>
      <c r="AQ29" s="2941"/>
      <c r="AR29" s="2941"/>
      <c r="AS29" s="2941"/>
      <c r="AT29" s="2941"/>
      <c r="AU29" s="2941"/>
      <c r="AV29" s="2941"/>
      <c r="AW29" s="2941"/>
      <c r="AX29" s="2941"/>
      <c r="AY29" s="2941"/>
      <c r="AZ29" s="2941"/>
      <c r="BA29" s="1935"/>
      <c r="BI29" s="1847">
        <v>14</v>
      </c>
    </row>
    <row customHeight="1" ht="14.25" hidden="1">
      <c r="Q30" s="983"/>
      <c r="R30" s="1068"/>
      <c r="S30" s="1967"/>
      <c r="T30" s="1055"/>
      <c r="U30" s="1055"/>
      <c r="V30" s="1014"/>
      <c r="W30" s="1014"/>
      <c r="X30" s="1014"/>
      <c r="Y30" s="1014"/>
      <c r="Z30" s="1014"/>
      <c r="AA30" s="1014"/>
      <c r="AB30" s="1014"/>
      <c r="AC30" s="1014"/>
      <c r="AD30" s="1014"/>
      <c r="AE30" s="1014"/>
      <c r="AF30" s="1014"/>
      <c r="AG30" s="1014"/>
      <c r="AH30" s="1014"/>
      <c r="AI30" s="1014"/>
      <c r="AJ30" s="1014"/>
      <c r="AK30" s="1014"/>
      <c r="AL30" s="1014"/>
      <c r="AM30" s="1014"/>
      <c r="AN30" s="1014"/>
      <c r="AO30" s="1014"/>
      <c r="AP30" s="1014"/>
      <c r="AQ30" s="1014"/>
      <c r="AR30" s="1014"/>
      <c r="AS30" s="1014"/>
      <c r="AT30" s="1014"/>
      <c r="AU30" s="1014"/>
      <c r="AV30" s="1014"/>
      <c r="AW30" s="1014"/>
      <c r="AX30" s="1014"/>
      <c r="AY30" s="1014"/>
      <c r="AZ30" s="1014"/>
      <c r="BA30" s="1014"/>
      <c r="BB30" s="1201"/>
      <c r="BI30" s="1847">
        <v>0</v>
      </c>
    </row>
    <row s="63055" customFormat="1" customHeight="1" ht="25.5" hidden="1">
      <c r="A31" s="2060"/>
      <c r="B31" s="2060"/>
      <c r="C31" s="2060"/>
      <c r="D31" s="2060"/>
      <c r="E31" s="2060"/>
      <c r="F31" s="2060"/>
      <c r="G31" s="2060"/>
      <c r="H31" s="2060"/>
      <c r="I31" s="2060"/>
      <c r="J31" s="2060"/>
      <c r="K31" s="2060"/>
      <c r="L31" s="2061"/>
      <c r="M31" s="2060"/>
      <c r="N31" s="2060"/>
      <c r="O31" s="2060"/>
      <c r="P31" s="2060"/>
      <c r="Q31" s="2060"/>
      <c r="S31" s="2942" t="s">
        <v>42</v>
      </c>
      <c r="T31" s="2942"/>
      <c r="U31" s="2064"/>
      <c r="V31" s="2943" t="str">
        <f>IF(TITLE_NAME_OR_PR_CHANGE="",IF(TITLE_NAME_OR_PR="","",TITLE_NAME_OR_PR),TITLE_NAME_OR_PR_CHANGE)</f>
        <v/>
      </c>
      <c r="W31" s="2943"/>
      <c r="X31" s="2943"/>
      <c r="Y31" s="2943"/>
      <c r="Z31" s="2943"/>
      <c r="AA31" s="2943"/>
      <c r="AB31" s="2943"/>
      <c r="AC31" s="1018"/>
      <c r="AD31" s="2943" t="str">
        <f>IF(TITLE_NAME_OR_PR_CHANGE="",IF(TITLE_NAME_OR_PR="","",TITLE_NAME_OR_PR),TITLE_NAME_OR_PR_CHANGE)</f>
        <v/>
      </c>
      <c r="AE31" s="2943"/>
      <c r="AF31" s="2943"/>
      <c r="AG31" s="2943"/>
      <c r="AH31" s="2943"/>
      <c r="AI31" s="2943"/>
      <c r="AJ31" s="2943"/>
      <c r="AK31" s="2943"/>
      <c r="AL31" s="2943"/>
      <c r="AM31" s="2943"/>
      <c r="AN31" s="2943"/>
      <c r="AO31" s="2943"/>
      <c r="AP31" s="2943"/>
      <c r="AQ31" s="2943"/>
      <c r="AR31" s="2943"/>
      <c r="AS31" s="2943"/>
      <c r="AT31" s="2943"/>
      <c r="AU31" s="2943"/>
      <c r="AV31" s="2943"/>
      <c r="AW31" s="2943"/>
      <c r="AX31" s="2943"/>
      <c r="AY31" s="2943"/>
      <c r="AZ31" s="2943"/>
      <c r="BA31" s="1018"/>
      <c r="BB31" s="1018"/>
      <c r="BC31" s="972"/>
      <c r="BD31" s="1060"/>
      <c r="BE31" s="1060"/>
      <c r="BF31" s="1060"/>
      <c r="BG31" s="1060"/>
      <c r="BH31" s="1060"/>
      <c r="BI31" s="1110">
        <v>0</v>
      </c>
    </row>
    <row s="63055" customFormat="1" customHeight="1" ht="18.75" hidden="1">
      <c r="A32" s="2060"/>
      <c r="B32" s="2060"/>
      <c r="C32" s="2060"/>
      <c r="D32" s="2060"/>
      <c r="E32" s="2060"/>
      <c r="F32" s="2060"/>
      <c r="G32" s="2060"/>
      <c r="H32" s="2060"/>
      <c r="I32" s="2060"/>
      <c r="J32" s="2060"/>
      <c r="K32" s="2060"/>
      <c r="L32" s="2061"/>
      <c r="M32" s="2060"/>
      <c r="N32" s="2060"/>
      <c r="O32" s="2060"/>
      <c r="P32" s="2060"/>
      <c r="Q32" s="2060"/>
      <c r="S32" s="2942" t="s">
        <v>495</v>
      </c>
      <c r="T32" s="2942"/>
      <c r="U32" s="2064"/>
      <c r="V32" s="2956" t="str">
        <f>IF(TITLE_DATE_PR_CHANGE="",IF(TITLE_DATE_PR="","",TITLE_DATE_PR),TITLE_DATE_PR_CHANGE)</f>
        <v>45981</v>
      </c>
      <c r="W32" s="2956"/>
      <c r="X32" s="2956"/>
      <c r="Y32" s="2956"/>
      <c r="Z32" s="2956"/>
      <c r="AA32" s="2956"/>
      <c r="AB32" s="2956"/>
      <c r="AC32" s="1018"/>
      <c r="AD32" s="2956" t="str">
        <f>IF(TITLE_DATE_PR_CHANGE="",IF(TITLE_DATE_PR="","",TITLE_DATE_PR),TITLE_DATE_PR_CHANGE)</f>
        <v>45981</v>
      </c>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1018"/>
      <c r="BB32" s="1018"/>
      <c r="BC32" s="972"/>
      <c r="BD32" s="1060"/>
      <c r="BE32" s="1060"/>
      <c r="BF32" s="1060"/>
      <c r="BG32" s="1060"/>
      <c r="BH32" s="1060"/>
      <c r="BI32" s="1110">
        <v>0</v>
      </c>
    </row>
    <row s="63055" customFormat="1" customHeight="1" ht="18.75" hidden="1">
      <c r="A33" s="2060"/>
      <c r="B33" s="2060"/>
      <c r="C33" s="2060"/>
      <c r="D33" s="2060"/>
      <c r="E33" s="2060"/>
      <c r="F33" s="2060"/>
      <c r="G33" s="2060"/>
      <c r="H33" s="2060"/>
      <c r="I33" s="2060"/>
      <c r="J33" s="2060"/>
      <c r="K33" s="2060"/>
      <c r="L33" s="2061"/>
      <c r="M33" s="2060"/>
      <c r="N33" s="2060"/>
      <c r="O33" s="2060"/>
      <c r="P33" s="2060"/>
      <c r="Q33" s="2060"/>
      <c r="S33" s="2942" t="s">
        <v>496</v>
      </c>
      <c r="T33" s="2942"/>
      <c r="U33" s="2064"/>
      <c r="V33" s="2943" t="str">
        <f>IF(TITLE_NUMBER_PR_CHANGE="",IF(TITLE_NUMBER_PR="","",TITLE_NUMBER_PR),TITLE_NUMBER_PR_CHANGE)</f>
        <v>Исх-260/1781</v>
      </c>
      <c r="W33" s="2943"/>
      <c r="X33" s="2943"/>
      <c r="Y33" s="2943"/>
      <c r="Z33" s="2943"/>
      <c r="AA33" s="2943"/>
      <c r="AB33" s="2943"/>
      <c r="AC33" s="1018"/>
      <c r="AD33" s="2943" t="str">
        <f>IF(TITLE_NUMBER_PR_CHANGE="",IF(TITLE_NUMBER_PR="","",TITLE_NUMBER_PR),TITLE_NUMBER_PR_CHANGE)</f>
        <v>Исх-260/1781</v>
      </c>
      <c r="AE33" s="2943"/>
      <c r="AF33" s="2943"/>
      <c r="AG33" s="2943"/>
      <c r="AH33" s="2943"/>
      <c r="AI33" s="2943"/>
      <c r="AJ33" s="2943"/>
      <c r="AK33" s="2943"/>
      <c r="AL33" s="2943"/>
      <c r="AM33" s="2943"/>
      <c r="AN33" s="2943"/>
      <c r="AO33" s="2943"/>
      <c r="AP33" s="2943"/>
      <c r="AQ33" s="2943"/>
      <c r="AR33" s="2943"/>
      <c r="AS33" s="2943"/>
      <c r="AT33" s="2943"/>
      <c r="AU33" s="2943"/>
      <c r="AV33" s="2943"/>
      <c r="AW33" s="2943"/>
      <c r="AX33" s="2943"/>
      <c r="AY33" s="2943"/>
      <c r="AZ33" s="2943"/>
      <c r="BA33" s="1018"/>
      <c r="BB33" s="1018"/>
      <c r="BC33" s="972"/>
      <c r="BD33" s="1060"/>
      <c r="BE33" s="1060"/>
      <c r="BF33" s="1060"/>
      <c r="BG33" s="1060"/>
      <c r="BH33" s="1060"/>
      <c r="BI33" s="1110">
        <v>0</v>
      </c>
    </row>
    <row s="63055" customFormat="1" customHeight="1" ht="18.75" hidden="1">
      <c r="A34" s="2060"/>
      <c r="B34" s="2060"/>
      <c r="C34" s="2060"/>
      <c r="D34" s="2060"/>
      <c r="E34" s="2060"/>
      <c r="F34" s="2060"/>
      <c r="G34" s="2060"/>
      <c r="H34" s="2060"/>
      <c r="I34" s="2060"/>
      <c r="J34" s="2060"/>
      <c r="K34" s="2060"/>
      <c r="L34" s="2061"/>
      <c r="M34" s="2060"/>
      <c r="N34" s="2060"/>
      <c r="O34" s="2060"/>
      <c r="P34" s="2060"/>
      <c r="Q34" s="2060"/>
      <c r="S34" s="2942" t="s">
        <v>43</v>
      </c>
      <c r="T34" s="2942"/>
      <c r="U34" s="2064"/>
      <c r="V34" s="2943" t="str">
        <f>IF(TITLE_IST_PUB_CHANGE="",IF(TITLE_IST_PUB="","",TITLE_IST_PUB),TITLE_IST_PUB_CHANGE)</f>
        <v/>
      </c>
      <c r="W34" s="2943"/>
      <c r="X34" s="2943"/>
      <c r="Y34" s="2943"/>
      <c r="Z34" s="2943"/>
      <c r="AA34" s="2943"/>
      <c r="AB34" s="2943"/>
      <c r="AC34" s="1018"/>
      <c r="AD34" s="2943" t="str">
        <f>IF(TITLE_IST_PUB_CHANGE="",IF(TITLE_IST_PUB="","",TITLE_IST_PUB),TITLE_IST_PUB_CHANGE)</f>
        <v/>
      </c>
      <c r="AE34" s="2943"/>
      <c r="AF34" s="2943"/>
      <c r="AG34" s="2943"/>
      <c r="AH34" s="2943"/>
      <c r="AI34" s="2943"/>
      <c r="AJ34" s="2943"/>
      <c r="AK34" s="2943"/>
      <c r="AL34" s="2943"/>
      <c r="AM34" s="2943"/>
      <c r="AN34" s="2943"/>
      <c r="AO34" s="2943"/>
      <c r="AP34" s="2943"/>
      <c r="AQ34" s="2943"/>
      <c r="AR34" s="2943"/>
      <c r="AS34" s="2943"/>
      <c r="AT34" s="2943"/>
      <c r="AU34" s="2943"/>
      <c r="AV34" s="2943"/>
      <c r="AW34" s="2943"/>
      <c r="AX34" s="2943"/>
      <c r="AY34" s="2943"/>
      <c r="AZ34" s="2943"/>
      <c r="BA34" s="1018"/>
      <c r="BB34" s="1018"/>
      <c r="BC34" s="972"/>
      <c r="BD34" s="1060"/>
      <c r="BE34" s="1060"/>
      <c r="BF34" s="1060"/>
      <c r="BG34" s="1060"/>
      <c r="BH34" s="1060"/>
      <c r="BI34" s="1110">
        <v>0</v>
      </c>
    </row>
    <row customHeight="1" ht="14.25">
      <c r="Q35" s="983"/>
      <c r="R35" s="1068"/>
      <c r="S35" s="1967"/>
      <c r="T35" s="1055"/>
      <c r="U35" s="1055"/>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201"/>
      <c r="BI35" s="1847">
        <v>0</v>
      </c>
    </row>
    <row s="63055" customFormat="1" customHeight="1" ht="18.75">
      <c r="A36" s="2060"/>
      <c r="B36" s="2060"/>
      <c r="C36" s="2060"/>
      <c r="D36" s="2060"/>
      <c r="E36" s="2060"/>
      <c r="F36" s="2060"/>
      <c r="G36" s="2060"/>
      <c r="H36" s="2060"/>
      <c r="I36" s="2060"/>
      <c r="J36" s="2060"/>
      <c r="K36" s="2060"/>
      <c r="L36" s="2061"/>
      <c r="M36" s="2060"/>
      <c r="N36" s="2060"/>
      <c r="O36" s="2060"/>
      <c r="P36" s="2060"/>
      <c r="Q36" s="2060"/>
      <c r="S36" s="2942" t="s">
        <v>495</v>
      </c>
      <c r="T36" s="2942"/>
      <c r="U36" s="2064"/>
      <c r="V36" s="2956" t="str">
        <f>IF(TITLE_DATE_PR_CHANGE="",IF(TITLE_DATE_PR="","",TITLE_DATE_PR),TITLE_DATE_PR_CHANGE)</f>
        <v>45981</v>
      </c>
      <c r="W36" s="2956"/>
      <c r="X36" s="2956"/>
      <c r="Y36" s="2956"/>
      <c r="Z36" s="2956"/>
      <c r="AA36" s="2956"/>
      <c r="AB36" s="2956"/>
      <c r="AC36" s="1018"/>
      <c r="AD36" s="2956" t="str">
        <f>IF(TITLE_DATE_PR_CHANGE="",IF(TITLE_DATE_PR="","",TITLE_DATE_PR),TITLE_DATE_PR_CHANGE)</f>
        <v>45981</v>
      </c>
      <c r="AE36" s="2956"/>
      <c r="AF36" s="2956"/>
      <c r="AG36" s="2956"/>
      <c r="AH36" s="2956"/>
      <c r="AI36" s="2956"/>
      <c r="AJ36" s="2956"/>
      <c r="AK36" s="2956"/>
      <c r="AL36" s="2956"/>
      <c r="AM36" s="2956"/>
      <c r="AN36" s="2956"/>
      <c r="AO36" s="2956"/>
      <c r="AP36" s="2956"/>
      <c r="AQ36" s="2956"/>
      <c r="AR36" s="2956"/>
      <c r="AS36" s="2956"/>
      <c r="AT36" s="2956"/>
      <c r="AU36" s="2956"/>
      <c r="AV36" s="2956"/>
      <c r="AW36" s="2956"/>
      <c r="AX36" s="2956"/>
      <c r="AY36" s="2956"/>
      <c r="AZ36" s="2956"/>
      <c r="BA36" s="1018"/>
      <c r="BB36" s="1018"/>
      <c r="BC36" s="972"/>
      <c r="BD36" s="1060"/>
      <c r="BE36" s="1060"/>
      <c r="BF36" s="1060"/>
      <c r="BG36" s="1060"/>
      <c r="BH36" s="1060"/>
      <c r="BI36" s="1110">
        <v>0</v>
      </c>
    </row>
    <row s="63055" customFormat="1" customHeight="1" ht="18.75">
      <c r="A37" s="2060"/>
      <c r="B37" s="2060"/>
      <c r="C37" s="2060"/>
      <c r="D37" s="2060"/>
      <c r="E37" s="2060"/>
      <c r="F37" s="2060"/>
      <c r="G37" s="2060"/>
      <c r="H37" s="2060"/>
      <c r="I37" s="2060"/>
      <c r="J37" s="2060"/>
      <c r="K37" s="2060"/>
      <c r="L37" s="2061"/>
      <c r="M37" s="2060"/>
      <c r="N37" s="2060"/>
      <c r="O37" s="2060"/>
      <c r="P37" s="2060"/>
      <c r="Q37" s="2060"/>
      <c r="S37" s="2942" t="s">
        <v>496</v>
      </c>
      <c r="T37" s="2942"/>
      <c r="U37" s="2064"/>
      <c r="V37" s="2943" t="str">
        <f>IF(TITLE_NUMBER_PR_CHANGE="",IF(TITLE_NUMBER_PR="","",TITLE_NUMBER_PR),TITLE_NUMBER_PR_CHANGE)</f>
        <v>Исх-260/1781</v>
      </c>
      <c r="W37" s="2943"/>
      <c r="X37" s="2943"/>
      <c r="Y37" s="2943"/>
      <c r="Z37" s="2943"/>
      <c r="AA37" s="2943"/>
      <c r="AB37" s="2943"/>
      <c r="AC37" s="1018"/>
      <c r="AD37" s="2943" t="str">
        <f>IF(TITLE_NUMBER_PR_CHANGE="",IF(TITLE_NUMBER_PR="","",TITLE_NUMBER_PR),TITLE_NUMBER_PR_CHANGE)</f>
        <v>Исх-260/1781</v>
      </c>
      <c r="AE37" s="2943"/>
      <c r="AF37" s="2943"/>
      <c r="AG37" s="2943"/>
      <c r="AH37" s="2943"/>
      <c r="AI37" s="2943"/>
      <c r="AJ37" s="2943"/>
      <c r="AK37" s="2943"/>
      <c r="AL37" s="2943"/>
      <c r="AM37" s="2943"/>
      <c r="AN37" s="2943"/>
      <c r="AO37" s="2943"/>
      <c r="AP37" s="2943"/>
      <c r="AQ37" s="2943"/>
      <c r="AR37" s="2943"/>
      <c r="AS37" s="2943"/>
      <c r="AT37" s="2943"/>
      <c r="AU37" s="2943"/>
      <c r="AV37" s="2943"/>
      <c r="AW37" s="2943"/>
      <c r="AX37" s="2943"/>
      <c r="AY37" s="2943"/>
      <c r="AZ37" s="2943"/>
      <c r="BA37" s="1018"/>
      <c r="BB37" s="1018"/>
      <c r="BC37" s="972"/>
      <c r="BD37" s="1060"/>
      <c r="BE37" s="1060"/>
      <c r="BF37" s="1060"/>
      <c r="BG37" s="1060"/>
      <c r="BH37" s="1060"/>
      <c r="BI37" s="1110">
        <v>0</v>
      </c>
    </row>
    <row s="63055" customFormat="1" customHeight="1" ht="0">
      <c r="A38" s="2060"/>
      <c r="B38" s="2060"/>
      <c r="C38" s="2060"/>
      <c r="D38" s="2060"/>
      <c r="E38" s="2060"/>
      <c r="F38" s="2060"/>
      <c r="G38" s="2060"/>
      <c r="H38" s="2060"/>
      <c r="I38" s="2060"/>
      <c r="J38" s="2060"/>
      <c r="K38" s="2060"/>
      <c r="L38" s="2061"/>
      <c r="M38" s="2060"/>
      <c r="N38" s="2060"/>
      <c r="O38" s="2060"/>
      <c r="P38" s="2060"/>
      <c r="Q38" s="2060"/>
      <c r="S38" s="1015"/>
      <c r="T38" s="1015"/>
      <c r="U38" s="2180"/>
      <c r="V38" s="1018"/>
      <c r="W38" s="1018"/>
      <c r="X38" s="1018"/>
      <c r="Y38" s="1018"/>
      <c r="Z38" s="1018"/>
      <c r="AA38" s="1018"/>
      <c r="AB38" s="1018"/>
      <c r="AC38" s="970" t="s">
        <v>499</v>
      </c>
      <c r="AD38" s="1018"/>
      <c r="AE38" s="1018"/>
      <c r="AF38" s="1018"/>
      <c r="AG38" s="1018"/>
      <c r="AH38" s="1018"/>
      <c r="AI38" s="1018"/>
      <c r="AJ38" s="1018"/>
      <c r="AK38" s="1018"/>
      <c r="AL38" s="1018"/>
      <c r="AM38" s="1018"/>
      <c r="AN38" s="1018"/>
      <c r="AO38" s="1018"/>
      <c r="AP38" s="1018"/>
      <c r="AQ38" s="1018"/>
      <c r="AR38" s="1018"/>
      <c r="AS38" s="1018"/>
      <c r="AT38" s="1018"/>
      <c r="AU38" s="1018"/>
      <c r="AV38" s="1018"/>
      <c r="AW38" s="1018"/>
      <c r="AX38" s="1018"/>
      <c r="AY38" s="1018"/>
      <c r="AZ38" s="1018"/>
      <c r="BA38" s="970" t="s">
        <v>499</v>
      </c>
      <c r="BD38" s="1060"/>
      <c r="BE38" s="1060"/>
      <c r="BF38" s="1060"/>
      <c r="BG38" s="1060"/>
      <c r="BH38" s="1060"/>
      <c r="BI38" s="1110">
        <v>0</v>
      </c>
    </row>
    <row customHeight="1" ht="14.699999999999998">
      <c r="Q39" s="983"/>
      <c r="R39" s="1068"/>
      <c r="S39" s="1967"/>
      <c r="T39" s="1055"/>
      <c r="U39" s="1936"/>
      <c r="V39" s="2944"/>
      <c r="W39" s="2944"/>
      <c r="X39" s="2944"/>
      <c r="Y39" s="2944"/>
      <c r="Z39" s="2944"/>
      <c r="AA39" s="2944"/>
      <c r="AB39" s="2944"/>
      <c r="AC39" s="2944"/>
      <c r="AD39" s="2944"/>
      <c r="AE39" s="2944"/>
      <c r="AF39" s="2944"/>
      <c r="AG39" s="2944"/>
      <c r="AH39" s="2944"/>
      <c r="AI39" s="2944"/>
      <c r="AJ39" s="2944"/>
      <c r="AK39" s="2944"/>
      <c r="AL39" s="2944"/>
      <c r="AM39" s="2944"/>
      <c r="AN39" s="2944"/>
      <c r="AO39" s="2944"/>
      <c r="AP39" s="2944"/>
      <c r="AQ39" s="2944"/>
      <c r="AR39" s="2944"/>
      <c r="AS39" s="2944"/>
      <c r="AT39" s="2944"/>
      <c r="AU39" s="2944"/>
      <c r="AV39" s="2944"/>
      <c r="AW39" s="2944"/>
      <c r="AX39" s="2944"/>
      <c r="AY39" s="2944"/>
      <c r="AZ39" s="2944"/>
      <c r="BA39" s="2944"/>
      <c r="BI39" s="1847">
        <v>14</v>
      </c>
    </row>
    <row customHeight="1" ht="14.699999999999998">
      <c r="Q40" s="983"/>
      <c r="R40" s="1068"/>
      <c r="S40" s="2819" t="s">
        <v>375</v>
      </c>
      <c r="T40" s="2819"/>
      <c r="U40" s="2819"/>
      <c r="V40" s="2819"/>
      <c r="W40" s="2819"/>
      <c r="X40" s="2819"/>
      <c r="Y40" s="2819"/>
      <c r="Z40" s="2819"/>
      <c r="AA40" s="2819"/>
      <c r="AB40" s="2819"/>
      <c r="AC40" s="2819"/>
      <c r="AD40" s="2819"/>
      <c r="AE40" s="2819"/>
      <c r="AF40" s="2819"/>
      <c r="AG40" s="2819"/>
      <c r="AH40" s="2819"/>
      <c r="AI40" s="2819"/>
      <c r="AJ40" s="2819"/>
      <c r="AK40" s="2819"/>
      <c r="AL40" s="2819"/>
      <c r="AM40" s="2819"/>
      <c r="AN40" s="2819"/>
      <c r="AO40" s="2819"/>
      <c r="AP40" s="2819"/>
      <c r="AQ40" s="2819"/>
      <c r="AR40" s="2819"/>
      <c r="AS40" s="2819"/>
      <c r="AT40" s="2819"/>
      <c r="AU40" s="2819"/>
      <c r="AV40" s="2819"/>
      <c r="AW40" s="2819"/>
      <c r="AX40" s="2819"/>
      <c r="AY40" s="2819"/>
      <c r="AZ40" s="2819"/>
      <c r="BA40" s="2819"/>
      <c r="BB40" s="2819"/>
      <c r="BC40" s="2819" t="s">
        <v>376</v>
      </c>
      <c r="BI40" s="1847">
        <v>14</v>
      </c>
    </row>
    <row customHeight="1" ht="14.699999999999998">
      <c r="Q41" s="983"/>
      <c r="R41" s="1068"/>
      <c r="S41" s="2965" t="s">
        <v>89</v>
      </c>
      <c r="T41" s="2901" t="s">
        <v>581</v>
      </c>
      <c r="U41" s="993"/>
      <c r="V41" s="2966" t="s">
        <v>501</v>
      </c>
      <c r="W41" s="2967"/>
      <c r="X41" s="2967"/>
      <c r="Y41" s="2967"/>
      <c r="Z41" s="2967"/>
      <c r="AA41" s="2967"/>
      <c r="AB41" s="2968"/>
      <c r="AC41" s="2969" t="s">
        <v>502</v>
      </c>
      <c r="AD41" s="3020" t="s">
        <v>598</v>
      </c>
      <c r="AE41" s="2983"/>
      <c r="AF41" s="2983"/>
      <c r="AG41" s="3021"/>
      <c r="AH41" s="3020" t="s">
        <v>599</v>
      </c>
      <c r="AI41" s="2983"/>
      <c r="AJ41" s="2983"/>
      <c r="AK41" s="3021"/>
      <c r="AL41" s="3020" t="s">
        <v>600</v>
      </c>
      <c r="AM41" s="2983"/>
      <c r="AN41" s="2983"/>
      <c r="AO41" s="3021"/>
      <c r="AP41" s="3020" t="s">
        <v>585</v>
      </c>
      <c r="AQ41" s="2983"/>
      <c r="AR41" s="2983"/>
      <c r="AS41" s="3021"/>
      <c r="AT41" s="2966" t="s">
        <v>501</v>
      </c>
      <c r="AU41" s="2967"/>
      <c r="AV41" s="2967"/>
      <c r="AW41" s="2967"/>
      <c r="AX41" s="2967"/>
      <c r="AY41" s="2967"/>
      <c r="AZ41" s="2968"/>
      <c r="BA41" s="2969" t="s">
        <v>502</v>
      </c>
      <c r="BB41" s="2972" t="s">
        <v>504</v>
      </c>
      <c r="BC41" s="2819"/>
      <c r="BI41" s="1847">
        <v>14</v>
      </c>
    </row>
    <row customHeight="1" ht="35.699999999999996">
      <c r="Q42" s="983"/>
      <c r="R42" s="1068"/>
      <c r="S42" s="2965"/>
      <c r="T42" s="2901"/>
      <c r="U42" s="1723"/>
      <c r="V42" s="2884" t="s">
        <v>586</v>
      </c>
      <c r="W42" s="2885"/>
      <c r="X42" s="2884" t="s">
        <v>587</v>
      </c>
      <c r="Y42" s="2885"/>
      <c r="Z42" s="2986" t="s">
        <v>588</v>
      </c>
      <c r="AA42" s="3005"/>
      <c r="AB42" s="3006"/>
      <c r="AC42" s="2970"/>
      <c r="AD42" s="3022"/>
      <c r="AE42" s="3023"/>
      <c r="AF42" s="3023"/>
      <c r="AG42" s="3024"/>
      <c r="AH42" s="3022"/>
      <c r="AI42" s="3023"/>
      <c r="AJ42" s="3023"/>
      <c r="AK42" s="3024"/>
      <c r="AL42" s="3022"/>
      <c r="AM42" s="3023"/>
      <c r="AN42" s="3023"/>
      <c r="AO42" s="3024"/>
      <c r="AP42" s="3022"/>
      <c r="AQ42" s="3023"/>
      <c r="AR42" s="3023"/>
      <c r="AS42" s="3024"/>
      <c r="AT42" s="2884" t="s">
        <v>601</v>
      </c>
      <c r="AU42" s="2885"/>
      <c r="AV42" s="2884" t="s">
        <v>602</v>
      </c>
      <c r="AW42" s="2885"/>
      <c r="AX42" s="2986" t="s">
        <v>588</v>
      </c>
      <c r="AY42" s="3005"/>
      <c r="AZ42" s="3006"/>
      <c r="BA42" s="2970"/>
      <c r="BB42" s="2973"/>
      <c r="BC42" s="2819"/>
      <c r="BI42" s="1847">
        <v>34</v>
      </c>
    </row>
    <row customHeight="1" ht="14.699999999999998">
      <c r="Q43" s="983"/>
      <c r="R43" s="1068"/>
      <c r="S43" s="2965"/>
      <c r="T43" s="2901"/>
      <c r="U43" s="1723"/>
      <c r="V43" s="2892"/>
      <c r="W43" s="2893"/>
      <c r="X43" s="2892"/>
      <c r="Y43" s="2893"/>
      <c r="Z43" s="2987"/>
      <c r="AA43" s="3007"/>
      <c r="AB43" s="3008"/>
      <c r="AC43" s="2970"/>
      <c r="AD43" s="3022"/>
      <c r="AE43" s="3023"/>
      <c r="AF43" s="3023"/>
      <c r="AG43" s="3024"/>
      <c r="AH43" s="3022"/>
      <c r="AI43" s="3023"/>
      <c r="AJ43" s="3023"/>
      <c r="AK43" s="3024"/>
      <c r="AL43" s="3022"/>
      <c r="AM43" s="3023"/>
      <c r="AN43" s="3023"/>
      <c r="AO43" s="3024"/>
      <c r="AP43" s="3022"/>
      <c r="AQ43" s="3023"/>
      <c r="AR43" s="3023"/>
      <c r="AS43" s="3024"/>
      <c r="AT43" s="2892"/>
      <c r="AU43" s="2893"/>
      <c r="AV43" s="2892"/>
      <c r="AW43" s="2893"/>
      <c r="AX43" s="2987"/>
      <c r="AY43" s="3007"/>
      <c r="AZ43" s="3008"/>
      <c r="BA43" s="2970"/>
      <c r="BB43" s="2973"/>
      <c r="BC43" s="2819"/>
      <c r="BI43" s="1847">
        <v>14</v>
      </c>
    </row>
    <row customHeight="1" ht="14.699999999999998">
      <c r="A44" s="2062"/>
      <c r="B44" s="2062" t="s">
        <v>143</v>
      </c>
      <c r="C44" s="2062" t="s">
        <v>144</v>
      </c>
      <c r="D44" s="2062" t="s">
        <v>145</v>
      </c>
      <c r="E44" s="2056" t="s">
        <v>509</v>
      </c>
      <c r="F44" s="2056" t="s">
        <v>510</v>
      </c>
      <c r="G44" s="2056" t="s">
        <v>511</v>
      </c>
      <c r="H44" s="2056" t="s">
        <v>512</v>
      </c>
      <c r="I44" s="2056" t="s">
        <v>513</v>
      </c>
      <c r="J44" s="2056" t="s">
        <v>514</v>
      </c>
      <c r="K44" s="2056" t="s">
        <v>515</v>
      </c>
      <c r="L44" s="2056" t="s">
        <v>490</v>
      </c>
      <c r="Q44" s="983"/>
      <c r="R44" s="1068"/>
      <c r="S44" s="2965"/>
      <c r="T44" s="2901"/>
      <c r="U44" s="994"/>
      <c r="V44" s="2171" t="s">
        <v>552</v>
      </c>
      <c r="W44" s="2171" t="s">
        <v>553</v>
      </c>
      <c r="X44" s="2171" t="s">
        <v>552</v>
      </c>
      <c r="Y44" s="2171" t="s">
        <v>553</v>
      </c>
      <c r="Z44" s="2181" t="s">
        <v>518</v>
      </c>
      <c r="AA44" s="2962" t="s">
        <v>519</v>
      </c>
      <c r="AB44" s="2963"/>
      <c r="AC44" s="2971"/>
      <c r="AD44" s="3025"/>
      <c r="AE44" s="3026"/>
      <c r="AF44" s="3026"/>
      <c r="AG44" s="3027"/>
      <c r="AH44" s="3025"/>
      <c r="AI44" s="3026"/>
      <c r="AJ44" s="3026"/>
      <c r="AK44" s="3027"/>
      <c r="AL44" s="3025"/>
      <c r="AM44" s="3026"/>
      <c r="AN44" s="3026"/>
      <c r="AO44" s="3027"/>
      <c r="AP44" s="3025"/>
      <c r="AQ44" s="3026"/>
      <c r="AR44" s="3026"/>
      <c r="AS44" s="3027"/>
      <c r="AT44" s="2171" t="s">
        <v>552</v>
      </c>
      <c r="AU44" s="2171" t="s">
        <v>553</v>
      </c>
      <c r="AV44" s="2171" t="s">
        <v>552</v>
      </c>
      <c r="AW44" s="2171" t="s">
        <v>553</v>
      </c>
      <c r="AX44" s="2181" t="s">
        <v>518</v>
      </c>
      <c r="AY44" s="2962" t="s">
        <v>519</v>
      </c>
      <c r="AZ44" s="2963"/>
      <c r="BA44" s="2971"/>
      <c r="BB44" s="2974"/>
      <c r="BC44" s="2819"/>
      <c r="BI44" s="1847">
        <v>14</v>
      </c>
    </row>
    <row s="61193" customFormat="1" customHeight="1" ht="11.25" hidden="1">
      <c r="A45" s="2062"/>
      <c r="B45" s="2062"/>
      <c r="C45" s="2062"/>
      <c r="D45" s="2062"/>
      <c r="E45" s="2062"/>
      <c r="F45" s="2062"/>
      <c r="G45" s="2062"/>
      <c r="H45" s="2062"/>
      <c r="I45" s="2062"/>
      <c r="J45" s="2062"/>
      <c r="K45" s="2062"/>
      <c r="L45" s="2056"/>
      <c r="M45" s="2054"/>
      <c r="N45" s="2054"/>
      <c r="O45" s="2054"/>
      <c r="P45" s="1202"/>
      <c r="Q45" s="1946"/>
      <c r="R45" s="1946">
        <v>1</v>
      </c>
      <c r="S45" s="1969" t="s">
        <v>118</v>
      </c>
      <c r="T45" s="1947" t="s">
        <v>103</v>
      </c>
      <c r="U45" s="1937" t="str">
        <f>OFFSET(U45,0,-1)</f>
        <v>2</v>
      </c>
      <c r="V45" s="2174">
        <f>OFFSET(V45,0,-1)+1</f>
        <v>3</v>
      </c>
      <c r="W45" s="2174">
        <f>OFFSET(W45,0,-1)+1</f>
        <v>4</v>
      </c>
      <c r="X45" s="2174">
        <f>OFFSET(X45,0,-1)+1</f>
        <v>5</v>
      </c>
      <c r="Y45" s="2174">
        <f>OFFSET(Y45,0,-1)+1</f>
        <v>6</v>
      </c>
      <c r="Z45" s="2174">
        <f>OFFSET(Z45,0,-1)+1</f>
        <v>7</v>
      </c>
      <c r="AA45" s="2964">
        <f>OFFSET(AA45,0,-1)+1</f>
        <v>8</v>
      </c>
      <c r="AB45" s="2964"/>
      <c r="AC45" s="2174">
        <f>OFFSET(AC45,0,-2)+1</f>
        <v>9</v>
      </c>
      <c r="AD45" s="2174">
        <f>OFFSET(AD45,0,-1)+1</f>
        <v>10</v>
      </c>
      <c r="AE45" s="2174"/>
      <c r="AF45" s="2174"/>
      <c r="AG45" s="2174"/>
      <c r="AH45" s="2174"/>
      <c r="AI45" s="2174"/>
      <c r="AJ45" s="2174"/>
      <c r="AK45" s="2174"/>
      <c r="AL45" s="2174"/>
      <c r="AM45" s="2174"/>
      <c r="AN45" s="2174"/>
      <c r="AO45" s="2174"/>
      <c r="AP45" s="2174"/>
      <c r="AQ45" s="2174"/>
      <c r="AR45" s="2174"/>
      <c r="AS45" s="2174"/>
      <c r="AT45" s="2174"/>
      <c r="AU45" s="2174"/>
      <c r="AV45" s="2174"/>
      <c r="AW45" s="2174">
        <f>OFFSET(AW45,0,-1)+1</f>
        <v>1</v>
      </c>
      <c r="AX45" s="2174">
        <f>OFFSET(AX45,0,-1)+1</f>
        <v>2</v>
      </c>
      <c r="AY45" s="2964">
        <f>OFFSET(AY45,0,-1)+1</f>
        <v>3</v>
      </c>
      <c r="AZ45" s="2964"/>
      <c r="BA45" s="2174">
        <f>OFFSET(BA45,0,-2)+1</f>
        <v>4</v>
      </c>
      <c r="BB45" s="1937">
        <f>OFFSET(BB45,0,-1)</f>
        <v>4</v>
      </c>
      <c r="BC45" s="2174">
        <f>OFFSET(BC45,0,-1)+1</f>
        <v>5</v>
      </c>
      <c r="BD45" s="1203"/>
      <c r="BE45" s="1203"/>
      <c r="BF45" s="1203"/>
      <c r="BG45" s="1203"/>
      <c r="BH45" s="1203"/>
      <c r="BI45" s="1188">
        <v>0</v>
      </c>
    </row>
    <row customHeight="1" ht="22.049999999999997">
      <c r="A46" s="2055" t="s">
        <v>351</v>
      </c>
      <c r="B46" s="2055"/>
      <c r="C46" s="2055"/>
      <c r="D46" s="2055"/>
      <c r="E46" s="2950">
        <v>1</v>
      </c>
      <c r="F46" s="2055"/>
      <c r="G46" s="2055"/>
      <c r="H46" s="2055"/>
      <c r="I46" s="2055"/>
      <c r="J46" s="2055"/>
      <c r="K46" s="2055"/>
      <c r="L46" s="2056"/>
      <c r="M46" s="2057"/>
      <c r="N46" s="2057"/>
      <c r="O46" s="2057"/>
      <c r="P46" s="2101"/>
      <c r="Q46" s="1565"/>
      <c r="R46" s="1047"/>
      <c r="S46" s="2185">
        <f>INDEX(PT_DIFFERENTIATION_NUM_NTAR,MATCH(A46,PT_DIFFERENTIATION_NTAR_ID,0))</f>
        <v>0</v>
      </c>
      <c r="T46" s="990" t="s">
        <v>131</v>
      </c>
      <c r="U46" s="992"/>
      <c r="V46" s="2935"/>
      <c r="W46" s="2935"/>
      <c r="X46" s="2935"/>
      <c r="Y46" s="2935"/>
      <c r="Z46" s="2935"/>
      <c r="AA46" s="2935"/>
      <c r="AB46" s="2935"/>
      <c r="AC46" s="2936"/>
      <c r="AD46" s="2934" t="str">
        <f>INDEX(PT_DIFFERENTIATION_NTAR,MATCH(A46,PT_DIFFERENTIATION_NTAR_ID,0))</f>
        <v/>
      </c>
      <c r="AE46" s="2935"/>
      <c r="AF46" s="2935"/>
      <c r="AG46" s="2935"/>
      <c r="AH46" s="2935"/>
      <c r="AI46" s="2935"/>
      <c r="AJ46" s="2935"/>
      <c r="AK46" s="2935"/>
      <c r="AL46" s="2935"/>
      <c r="AM46" s="2935"/>
      <c r="AN46" s="2935"/>
      <c r="AO46" s="2935"/>
      <c r="AP46" s="2935"/>
      <c r="AQ46" s="2935"/>
      <c r="AR46" s="2935"/>
      <c r="AS46" s="2935"/>
      <c r="AT46" s="2935"/>
      <c r="AU46" s="2935"/>
      <c r="AV46" s="2935"/>
      <c r="AW46" s="2935"/>
      <c r="AX46" s="2935"/>
      <c r="AY46" s="2935"/>
      <c r="AZ46" s="2935"/>
      <c r="BA46" s="2935"/>
      <c r="BB46" s="2936"/>
      <c r="BC46"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92"/>
      <c r="BF46" s="1192" t="str">
        <f>IF(T46="","",T46)</f>
        <v>Наименование тарифа</v>
      </c>
      <c r="BG46" s="1192"/>
      <c r="BH46" s="1192"/>
      <c r="BI46" s="1847">
        <v>21</v>
      </c>
    </row>
    <row customHeight="1" ht="22.049999999999997">
      <c r="A47" s="2055" t="s">
        <v>351</v>
      </c>
      <c r="B47" s="2055" t="s">
        <v>352</v>
      </c>
      <c r="C47" s="2055"/>
      <c r="D47" s="2055"/>
      <c r="E47" s="2951"/>
      <c r="F47" s="2950">
        <v>1</v>
      </c>
      <c r="G47" s="2055"/>
      <c r="H47" s="2055"/>
      <c r="I47" s="2055"/>
      <c r="J47" s="2055"/>
      <c r="K47" s="2055"/>
      <c r="L47" s="2056"/>
      <c r="M47" s="2057"/>
      <c r="N47" s="2057"/>
      <c r="O47" s="2057"/>
      <c r="P47" s="2102"/>
      <c r="Q47" s="2103"/>
      <c r="R47" s="1045"/>
      <c r="S47" s="2185" t="str">
        <f>INDEX(PT_DIFFERENTIATION_NUM_TER,MATCH(B47,PT_DIFFERENTIATION_TER_ID,0))</f>
        <v>.</v>
      </c>
      <c r="T47" s="1000" t="s">
        <v>472</v>
      </c>
      <c r="U47" s="992"/>
      <c r="V47" s="2935"/>
      <c r="W47" s="2935"/>
      <c r="X47" s="2935"/>
      <c r="Y47" s="2935"/>
      <c r="Z47" s="2935"/>
      <c r="AA47" s="2935"/>
      <c r="AB47" s="2935"/>
      <c r="AC47" s="2936"/>
      <c r="AD47" s="2934" t="str">
        <f>INDEX(PT_DIFFERENTIATION_TER,MATCH(B47,PT_DIFFERENTIATION_TER_ID,0))</f>
        <v/>
      </c>
      <c r="AE47" s="2935"/>
      <c r="AF47" s="2935"/>
      <c r="AG47" s="2935"/>
      <c r="AH47" s="2935"/>
      <c r="AI47" s="2935"/>
      <c r="AJ47" s="2935"/>
      <c r="AK47" s="2935"/>
      <c r="AL47" s="2935"/>
      <c r="AM47" s="2935"/>
      <c r="AN47" s="2935"/>
      <c r="AO47" s="2935"/>
      <c r="AP47" s="2935"/>
      <c r="AQ47" s="2935"/>
      <c r="AR47" s="2935"/>
      <c r="AS47" s="2935"/>
      <c r="AT47" s="2935"/>
      <c r="AU47" s="2935"/>
      <c r="AV47" s="2935"/>
      <c r="AW47" s="2935"/>
      <c r="AX47" s="2935"/>
      <c r="AY47" s="2935"/>
      <c r="AZ47" s="2935"/>
      <c r="BA47" s="2935"/>
      <c r="BB47" s="2936"/>
      <c r="BC47" s="1950" t="s">
        <v>473</v>
      </c>
      <c r="BE47" s="1192"/>
      <c r="BF47" s="1192" t="str">
        <f>IF(T47="","",T47)</f>
        <v>Территория действия тарифа</v>
      </c>
      <c r="BG47" s="1192"/>
      <c r="BH47" s="1192"/>
      <c r="BI47" s="1847">
        <v>21</v>
      </c>
    </row>
    <row customHeight="1" ht="35.699999999999996">
      <c r="A48" s="2055" t="s">
        <v>351</v>
      </c>
      <c r="B48" s="2055" t="s">
        <v>352</v>
      </c>
      <c r="C48" s="2055" t="s">
        <v>353</v>
      </c>
      <c r="D48" s="2055"/>
      <c r="E48" s="2951"/>
      <c r="F48" s="2951"/>
      <c r="G48" s="2950">
        <v>1</v>
      </c>
      <c r="H48" s="2055"/>
      <c r="I48" s="2055"/>
      <c r="J48" s="2055"/>
      <c r="K48" s="2055"/>
      <c r="L48" s="2056"/>
      <c r="M48" s="2057"/>
      <c r="N48" s="2057"/>
      <c r="O48" s="2057"/>
      <c r="P48" s="2104"/>
      <c r="Q48" s="2103"/>
      <c r="R48" s="1045"/>
      <c r="S48" s="2185" t="str">
        <f>INDEX(PT_DIFFERENTIATION_NUM_CS,MATCH(C48,PT_DIFFERENTIATION_CS_ID,0))</f>
        <v>..</v>
      </c>
      <c r="T48" s="1001" t="s">
        <v>590</v>
      </c>
      <c r="U48" s="992"/>
      <c r="V48" s="2935"/>
      <c r="W48" s="2935"/>
      <c r="X48" s="2935"/>
      <c r="Y48" s="2935"/>
      <c r="Z48" s="2935"/>
      <c r="AA48" s="2935"/>
      <c r="AB48" s="2935"/>
      <c r="AC48" s="2936"/>
      <c r="AD48" s="2934" t="str">
        <f>INDEX(PT_DIFFERENTIATION_CS,MATCH(C48,PT_DIFFERENTIATION_CS_ID,0))</f>
        <v/>
      </c>
      <c r="AE48" s="2935"/>
      <c r="AF48" s="2935"/>
      <c r="AG48" s="2935"/>
      <c r="AH48" s="2935"/>
      <c r="AI48" s="2935"/>
      <c r="AJ48" s="2935"/>
      <c r="AK48" s="2935"/>
      <c r="AL48" s="2935"/>
      <c r="AM48" s="2935"/>
      <c r="AN48" s="2935"/>
      <c r="AO48" s="2935"/>
      <c r="AP48" s="2935"/>
      <c r="AQ48" s="2935"/>
      <c r="AR48" s="2935"/>
      <c r="AS48" s="2935"/>
      <c r="AT48" s="2935"/>
      <c r="AU48" s="2935"/>
      <c r="AV48" s="2935"/>
      <c r="AW48" s="2935"/>
      <c r="AX48" s="2935"/>
      <c r="AY48" s="2935"/>
      <c r="AZ48" s="2935"/>
      <c r="BA48" s="2935"/>
      <c r="BB48" s="2936"/>
      <c r="BC48" s="1950" t="s">
        <v>591</v>
      </c>
      <c r="BE48" s="1192"/>
      <c r="BF48" s="1192" t="str">
        <f>IF(T48="","",T48)</f>
        <v>Наименование централизованной системы водоотведения</v>
      </c>
      <c r="BG48" s="1192"/>
      <c r="BH48" s="1192"/>
      <c r="BI48" s="1847">
        <v>34</v>
      </c>
    </row>
    <row s="61695" customFormat="1" customHeight="1" ht="0">
      <c r="A49" s="2035" t="s">
        <v>351</v>
      </c>
      <c r="B49" s="2035" t="s">
        <v>352</v>
      </c>
      <c r="C49" s="2035" t="s">
        <v>353</v>
      </c>
      <c r="D49" s="2035" t="s">
        <v>603</v>
      </c>
      <c r="E49" s="2951"/>
      <c r="F49" s="2951"/>
      <c r="G49" s="2951"/>
      <c r="H49" s="2950">
        <v>1</v>
      </c>
      <c r="I49" s="2035"/>
      <c r="J49" s="2035"/>
      <c r="K49" s="2035"/>
      <c r="L49" s="2038"/>
      <c r="M49" s="2007"/>
      <c r="N49" s="2007"/>
      <c r="O49" s="2007"/>
      <c r="P49" s="2189"/>
      <c r="Q49" s="2190"/>
      <c r="R49" s="1049"/>
      <c r="S49" s="1734"/>
      <c r="T49" s="2191"/>
      <c r="U49" s="2076"/>
      <c r="V49" s="2989"/>
      <c r="W49" s="2989"/>
      <c r="X49" s="2989"/>
      <c r="Y49" s="2989"/>
      <c r="Z49" s="2989"/>
      <c r="AA49" s="2989"/>
      <c r="AB49" s="2989"/>
      <c r="AC49" s="2990"/>
      <c r="AD49" s="2988"/>
      <c r="AE49" s="2989"/>
      <c r="AF49" s="2989"/>
      <c r="AG49" s="2989"/>
      <c r="AH49" s="2989"/>
      <c r="AI49" s="2989"/>
      <c r="AJ49" s="2989"/>
      <c r="AK49" s="2989"/>
      <c r="AL49" s="2989"/>
      <c r="AM49" s="2989"/>
      <c r="AN49" s="2989"/>
      <c r="AO49" s="2989"/>
      <c r="AP49" s="2989"/>
      <c r="AQ49" s="2989"/>
      <c r="AR49" s="2989"/>
      <c r="AS49" s="2989"/>
      <c r="AT49" s="2989"/>
      <c r="AU49" s="2989"/>
      <c r="AV49" s="2989"/>
      <c r="AW49" s="2989"/>
      <c r="AX49" s="2989"/>
      <c r="AY49" s="2989"/>
      <c r="AZ49" s="2989"/>
      <c r="BA49" s="2989"/>
      <c r="BB49" s="2990"/>
      <c r="BC49" s="2077" t="s">
        <v>477</v>
      </c>
      <c r="BE49" s="1192"/>
      <c r="BF49" s="1192" t="str">
        <f>IF(T49="","",T49)</f>
        <v/>
      </c>
      <c r="BG49" s="1192"/>
      <c r="BH49" s="1192"/>
      <c r="BI49" s="1203">
        <v>0</v>
      </c>
    </row>
    <row s="61695" customFormat="1" customHeight="1" ht="0">
      <c r="A50" s="2035" t="s">
        <v>351</v>
      </c>
      <c r="B50" s="2035" t="s">
        <v>352</v>
      </c>
      <c r="C50" s="2035" t="s">
        <v>353</v>
      </c>
      <c r="D50" s="2035" t="s">
        <v>603</v>
      </c>
      <c r="E50" s="2951"/>
      <c r="F50" s="2951"/>
      <c r="G50" s="2951"/>
      <c r="H50" s="2951"/>
      <c r="I50" s="2948" t="str">
        <f>S49&amp;".1"</f>
        <v>.1</v>
      </c>
      <c r="J50" s="2035"/>
      <c r="K50" s="2035"/>
      <c r="L50" s="2038" t="s">
        <v>478</v>
      </c>
      <c r="M50" s="1202"/>
      <c r="N50" s="1202"/>
      <c r="O50" s="1202"/>
      <c r="P50" s="2949">
        <v>1</v>
      </c>
      <c r="Q50" s="2173"/>
      <c r="R50" s="1048"/>
      <c r="S50" s="1734"/>
      <c r="T50" s="2075"/>
      <c r="U50" s="2076"/>
      <c r="V50" s="2989"/>
      <c r="W50" s="2989"/>
      <c r="X50" s="2989"/>
      <c r="Y50" s="2989"/>
      <c r="Z50" s="2989"/>
      <c r="AA50" s="2989"/>
      <c r="AB50" s="2989"/>
      <c r="AC50" s="2990"/>
      <c r="AD50" s="2988"/>
      <c r="AE50" s="2989"/>
      <c r="AF50" s="2989"/>
      <c r="AG50" s="2989"/>
      <c r="AH50" s="2989"/>
      <c r="AI50" s="2989"/>
      <c r="AJ50" s="2989"/>
      <c r="AK50" s="2989"/>
      <c r="AL50" s="2989"/>
      <c r="AM50" s="2989"/>
      <c r="AN50" s="2989"/>
      <c r="AO50" s="2989"/>
      <c r="AP50" s="2989"/>
      <c r="AQ50" s="2989"/>
      <c r="AR50" s="2989"/>
      <c r="AS50" s="2989"/>
      <c r="AT50" s="2989"/>
      <c r="AU50" s="2989"/>
      <c r="AV50" s="2989"/>
      <c r="AW50" s="2989"/>
      <c r="AX50" s="2989"/>
      <c r="AY50" s="2989"/>
      <c r="AZ50" s="2989"/>
      <c r="BA50" s="2989"/>
      <c r="BB50" s="2990"/>
      <c r="BC50" s="2077"/>
      <c r="BE50" s="1192"/>
      <c r="BF50" s="1192" t="str">
        <f>IF(T50="","",T50)</f>
        <v/>
      </c>
      <c r="BG50" s="1192"/>
      <c r="BH50" s="1192"/>
      <c r="BI50" s="1203">
        <v>0</v>
      </c>
    </row>
    <row s="61695" customFormat="1" customHeight="1" ht="0">
      <c r="A51" s="2035" t="s">
        <v>351</v>
      </c>
      <c r="B51" s="2035" t="s">
        <v>352</v>
      </c>
      <c r="C51" s="2035" t="s">
        <v>353</v>
      </c>
      <c r="D51" s="2035" t="s">
        <v>603</v>
      </c>
      <c r="E51" s="2951"/>
      <c r="F51" s="2951"/>
      <c r="G51" s="2951"/>
      <c r="H51" s="2951"/>
      <c r="I51" s="2978"/>
      <c r="J51" s="2948" t="str">
        <f>S49&amp;".1"</f>
        <v>.1</v>
      </c>
      <c r="K51" s="2035"/>
      <c r="L51" s="2038"/>
      <c r="M51" s="1202"/>
      <c r="N51" s="1202"/>
      <c r="O51" s="1202"/>
      <c r="P51" s="2949"/>
      <c r="Q51" s="2949">
        <v>1</v>
      </c>
      <c r="R51" s="1049"/>
      <c r="S51" s="1734"/>
      <c r="T51" s="2091"/>
      <c r="U51" s="2076"/>
      <c r="V51" s="2989"/>
      <c r="W51" s="2989"/>
      <c r="X51" s="2989"/>
      <c r="Y51" s="2989"/>
      <c r="Z51" s="2989"/>
      <c r="AA51" s="2989"/>
      <c r="AB51" s="2989"/>
      <c r="AC51" s="2990"/>
      <c r="AD51" s="2988"/>
      <c r="AE51" s="2989"/>
      <c r="AF51" s="2989"/>
      <c r="AG51" s="2989"/>
      <c r="AH51" s="2989"/>
      <c r="AI51" s="2989"/>
      <c r="AJ51" s="2989"/>
      <c r="AK51" s="2989"/>
      <c r="AL51" s="2989"/>
      <c r="AM51" s="2989"/>
      <c r="AN51" s="3056"/>
      <c r="AO51" s="3056"/>
      <c r="AP51" s="2989"/>
      <c r="AQ51" s="2989"/>
      <c r="AR51" s="2989"/>
      <c r="AS51" s="2989"/>
      <c r="AT51" s="2989"/>
      <c r="AU51" s="2989"/>
      <c r="AV51" s="2989"/>
      <c r="AW51" s="2989"/>
      <c r="AX51" s="2989"/>
      <c r="AY51" s="2989"/>
      <c r="AZ51" s="2989"/>
      <c r="BA51" s="2989"/>
      <c r="BB51" s="2990"/>
      <c r="BC51" s="2077"/>
      <c r="BE51" s="1192"/>
      <c r="BF51" s="1192" t="str">
        <f>IF(T51="","",T51)</f>
        <v/>
      </c>
      <c r="BG51" s="1192"/>
      <c r="BH51" s="1192"/>
      <c r="BI51" s="1203">
        <v>0</v>
      </c>
    </row>
    <row customHeight="1" ht="11.549999999999999">
      <c r="A52" s="2055" t="s">
        <v>351</v>
      </c>
      <c r="B52" s="2055" t="s">
        <v>352</v>
      </c>
      <c r="C52" s="2055" t="s">
        <v>353</v>
      </c>
      <c r="D52" s="2055" t="s">
        <v>603</v>
      </c>
      <c r="E52" s="2951"/>
      <c r="F52" s="2951"/>
      <c r="G52" s="2951"/>
      <c r="H52" s="2951"/>
      <c r="I52" s="2978"/>
      <c r="J52" s="2978"/>
      <c r="K52" s="2948" t="str">
        <f>S48&amp;".1"</f>
        <v>...1</v>
      </c>
      <c r="L52" s="2056"/>
      <c r="P52" s="2949"/>
      <c r="Q52" s="2949"/>
      <c r="R52" s="1049">
        <v>1</v>
      </c>
      <c r="S52" s="3033" t="str">
        <f>$K52</f>
        <v>...1</v>
      </c>
      <c r="T52" s="3052"/>
      <c r="U52" s="992"/>
      <c r="V52" s="1443"/>
      <c r="W52" s="1949"/>
      <c r="X52" s="1443"/>
      <c r="Y52" s="1949"/>
      <c r="Z52" s="2426"/>
      <c r="AA52" s="2161" t="s">
        <v>67</v>
      </c>
      <c r="AB52" s="2426"/>
      <c r="AC52" s="2161" t="s">
        <v>67</v>
      </c>
      <c r="AD52" s="2877" t="s">
        <v>67</v>
      </c>
      <c r="AE52" s="3018"/>
      <c r="AF52" s="2897">
        <v>1</v>
      </c>
      <c r="AG52" s="3055"/>
      <c r="AH52" s="2799" t="s">
        <v>67</v>
      </c>
      <c r="AI52" s="3018"/>
      <c r="AJ52" s="2897">
        <v>1</v>
      </c>
      <c r="AK52" s="3019" t="s">
        <v>28</v>
      </c>
      <c r="AL52" s="2799" t="s">
        <v>67</v>
      </c>
      <c r="AM52" s="2884"/>
      <c r="AN52" s="2897">
        <v>1</v>
      </c>
      <c r="AO52" s="3049"/>
      <c r="AP52" s="3050" t="s">
        <v>67</v>
      </c>
      <c r="AQ52" s="1003"/>
      <c r="AR52" s="2178">
        <v>1</v>
      </c>
      <c r="AS52" s="2184" t="s">
        <v>28</v>
      </c>
      <c r="AT52" s="1443"/>
      <c r="AU52" s="1949"/>
      <c r="AV52" s="1443"/>
      <c r="AW52" s="1949"/>
      <c r="AX52" s="2426"/>
      <c r="AY52" s="2161" t="s">
        <v>67</v>
      </c>
      <c r="AZ52" s="2426"/>
      <c r="BA52" s="2161" t="s">
        <v>67</v>
      </c>
      <c r="BB52" s="2040"/>
      <c r="BC52" s="2945" t="s">
        <v>575</v>
      </c>
      <c r="BE52" s="1192"/>
      <c r="BF52" s="1192" t="str">
        <f>IF(T52="","",T52)</f>
        <v/>
      </c>
      <c r="BG52" s="1192"/>
      <c r="BH52" s="1192"/>
      <c r="BI52" s="1847">
        <v>11</v>
      </c>
    </row>
    <row customHeight="1" ht="11.549999999999999">
      <c r="A53" s="2055"/>
      <c r="B53" s="2055"/>
      <c r="C53" s="2055"/>
      <c r="D53" s="2055"/>
      <c r="E53" s="2951"/>
      <c r="F53" s="2951"/>
      <c r="G53" s="2951"/>
      <c r="H53" s="2951"/>
      <c r="I53" s="2978"/>
      <c r="J53" s="2978"/>
      <c r="K53" s="2948"/>
      <c r="L53" s="2056"/>
      <c r="P53" s="2949"/>
      <c r="Q53" s="2949"/>
      <c r="R53" s="1049"/>
      <c r="S53" s="3034"/>
      <c r="T53" s="3053"/>
      <c r="U53" s="992"/>
      <c r="V53" s="2085"/>
      <c r="W53" s="2188"/>
      <c r="X53" s="2085"/>
      <c r="Y53" s="2188"/>
      <c r="Z53" s="2085"/>
      <c r="AA53" s="2085"/>
      <c r="AB53" s="2085"/>
      <c r="AC53" s="2085"/>
      <c r="AD53" s="2878"/>
      <c r="AE53" s="3018"/>
      <c r="AF53" s="2897"/>
      <c r="AG53" s="3055"/>
      <c r="AH53" s="2799"/>
      <c r="AI53" s="3018"/>
      <c r="AJ53" s="2897"/>
      <c r="AK53" s="3019"/>
      <c r="AL53" s="2799"/>
      <c r="AM53" s="2892"/>
      <c r="AN53" s="2897"/>
      <c r="AO53" s="3049"/>
      <c r="AP53" s="3051"/>
      <c r="AQ53" s="1008"/>
      <c r="AR53" s="1108"/>
      <c r="AS53" s="1108" t="s">
        <v>576</v>
      </c>
      <c r="AT53" s="2085"/>
      <c r="AU53" s="2188"/>
      <c r="AV53" s="2085"/>
      <c r="AW53" s="2188"/>
      <c r="AX53" s="2085"/>
      <c r="AY53" s="2085"/>
      <c r="AZ53" s="2085"/>
      <c r="BA53" s="2085"/>
      <c r="BB53" s="2089"/>
      <c r="BC53" s="2946"/>
      <c r="BE53" s="1192"/>
      <c r="BF53" s="1192"/>
      <c r="BG53" s="1192"/>
      <c r="BH53" s="1192"/>
      <c r="BI53" s="1847">
        <v>11</v>
      </c>
    </row>
    <row customHeight="1" ht="11.549999999999999">
      <c r="A54" s="2055" t="s">
        <v>351</v>
      </c>
      <c r="B54" s="2055"/>
      <c r="C54" s="2055"/>
      <c r="D54" s="2055"/>
      <c r="E54" s="2951"/>
      <c r="F54" s="2951"/>
      <c r="G54" s="2951"/>
      <c r="H54" s="2951"/>
      <c r="I54" s="2978"/>
      <c r="J54" s="2978"/>
      <c r="K54" s="2948"/>
      <c r="L54" s="2056"/>
      <c r="P54" s="2949"/>
      <c r="Q54" s="2949"/>
      <c r="R54" s="1049"/>
      <c r="S54" s="3034"/>
      <c r="T54" s="3053"/>
      <c r="U54" s="992"/>
      <c r="V54" s="2085"/>
      <c r="W54" s="2188"/>
      <c r="X54" s="2085"/>
      <c r="Y54" s="2188"/>
      <c r="Z54" s="2085"/>
      <c r="AA54" s="2085"/>
      <c r="AB54" s="2085"/>
      <c r="AC54" s="2085"/>
      <c r="AD54" s="2878"/>
      <c r="AE54" s="3018"/>
      <c r="AF54" s="2897"/>
      <c r="AG54" s="3055"/>
      <c r="AH54" s="2799"/>
      <c r="AI54" s="3018"/>
      <c r="AJ54" s="2897"/>
      <c r="AK54" s="3019"/>
      <c r="AL54" s="2799"/>
      <c r="AM54" s="1008"/>
      <c r="AN54" s="2192"/>
      <c r="AO54" s="2192" t="s">
        <v>596</v>
      </c>
      <c r="AP54" s="1108"/>
      <c r="AQ54" s="1108"/>
      <c r="AR54" s="1108"/>
      <c r="AS54" s="2085"/>
      <c r="AT54" s="2085"/>
      <c r="AU54" s="2188"/>
      <c r="AV54" s="2085"/>
      <c r="AW54" s="2188"/>
      <c r="AX54" s="2085"/>
      <c r="AY54" s="2085"/>
      <c r="AZ54" s="2085"/>
      <c r="BA54" s="2085"/>
      <c r="BB54" s="2089"/>
      <c r="BC54" s="2946"/>
      <c r="BE54" s="1192"/>
      <c r="BF54" s="1192"/>
      <c r="BG54" s="1192"/>
      <c r="BH54" s="1192"/>
      <c r="BI54" s="1847">
        <v>11</v>
      </c>
    </row>
    <row customHeight="1" ht="11.549999999999999">
      <c r="A55" s="2055" t="s">
        <v>351</v>
      </c>
      <c r="B55" s="2055"/>
      <c r="C55" s="2055"/>
      <c r="D55" s="2055"/>
      <c r="E55" s="2951"/>
      <c r="F55" s="2951"/>
      <c r="G55" s="2951"/>
      <c r="H55" s="2951"/>
      <c r="I55" s="2978"/>
      <c r="J55" s="2978"/>
      <c r="K55" s="2948"/>
      <c r="L55" s="2056"/>
      <c r="P55" s="2949"/>
      <c r="Q55" s="2949"/>
      <c r="R55" s="1049"/>
      <c r="S55" s="3034"/>
      <c r="T55" s="3053"/>
      <c r="U55" s="992"/>
      <c r="V55" s="2085"/>
      <c r="W55" s="2188"/>
      <c r="X55" s="2085"/>
      <c r="Y55" s="2188"/>
      <c r="Z55" s="2085"/>
      <c r="AA55" s="2085"/>
      <c r="AB55" s="2085"/>
      <c r="AC55" s="2085"/>
      <c r="AD55" s="2878"/>
      <c r="AE55" s="3018"/>
      <c r="AF55" s="2897"/>
      <c r="AG55" s="3055"/>
      <c r="AH55" s="2799"/>
      <c r="AI55" s="986"/>
      <c r="AJ55" s="1107"/>
      <c r="AK55" s="1005" t="s">
        <v>597</v>
      </c>
      <c r="AL55" s="2085"/>
      <c r="AM55" s="2085"/>
      <c r="AN55" s="2085"/>
      <c r="AO55" s="2085"/>
      <c r="AP55" s="2085"/>
      <c r="AQ55" s="2085"/>
      <c r="AR55" s="2085"/>
      <c r="AS55" s="2085"/>
      <c r="AT55" s="2085"/>
      <c r="AU55" s="2188"/>
      <c r="AV55" s="2085"/>
      <c r="AW55" s="2188"/>
      <c r="AX55" s="2085"/>
      <c r="AY55" s="2085"/>
      <c r="AZ55" s="2085"/>
      <c r="BA55" s="2085"/>
      <c r="BB55" s="2089"/>
      <c r="BC55" s="2946"/>
      <c r="BE55" s="1192"/>
      <c r="BF55" s="1192"/>
      <c r="BG55" s="1192"/>
      <c r="BH55" s="1192"/>
      <c r="BI55" s="1847">
        <v>11</v>
      </c>
    </row>
    <row customHeight="1" ht="11.549999999999999">
      <c r="A56" s="2055" t="s">
        <v>351</v>
      </c>
      <c r="B56" s="2055" t="s">
        <v>352</v>
      </c>
      <c r="C56" s="2055" t="s">
        <v>353</v>
      </c>
      <c r="D56" s="2055" t="s">
        <v>603</v>
      </c>
      <c r="E56" s="2951"/>
      <c r="F56" s="2951"/>
      <c r="G56" s="2951"/>
      <c r="H56" s="2951"/>
      <c r="I56" s="2978"/>
      <c r="J56" s="2978"/>
      <c r="K56" s="2948"/>
      <c r="L56" s="2056"/>
      <c r="P56" s="2949"/>
      <c r="Q56" s="2949"/>
      <c r="R56" s="1049"/>
      <c r="S56" s="3035"/>
      <c r="T56" s="3054"/>
      <c r="U56" s="992"/>
      <c r="V56" s="2085"/>
      <c r="W56" s="2086" t="str">
        <f>Z52&amp;"-"&amp;AB52</f>
        <v>-</v>
      </c>
      <c r="X56" s="2085"/>
      <c r="Y56" s="2086" t="str">
        <f>AB52&amp;"-"&amp;AD52</f>
        <v>-да</v>
      </c>
      <c r="Z56" s="2085"/>
      <c r="AA56" s="2085"/>
      <c r="AB56" s="2085"/>
      <c r="AC56" s="2085"/>
      <c r="AD56" s="2804"/>
      <c r="AE56" s="1004"/>
      <c r="AF56" s="1006"/>
      <c r="AG56" s="1108" t="s">
        <v>579</v>
      </c>
      <c r="AH56" s="2085"/>
      <c r="AI56" s="2085"/>
      <c r="AJ56" s="2085"/>
      <c r="AK56" s="2085"/>
      <c r="AL56" s="2085"/>
      <c r="AM56" s="2085"/>
      <c r="AN56" s="2085"/>
      <c r="AO56" s="2085"/>
      <c r="AP56" s="2085"/>
      <c r="AQ56" s="2085"/>
      <c r="AR56" s="2085"/>
      <c r="AS56" s="2085"/>
      <c r="AT56" s="2085"/>
      <c r="AU56" s="2086" t="str">
        <f>AX52&amp;"-"&amp;AZ52</f>
        <v>-</v>
      </c>
      <c r="AV56" s="2085"/>
      <c r="AW56" s="2086" t="str">
        <f>AZ52&amp;"-"&amp;BB52</f>
        <v>-</v>
      </c>
      <c r="AX56" s="2085"/>
      <c r="AY56" s="2085"/>
      <c r="AZ56" s="2085"/>
      <c r="BA56" s="2085"/>
      <c r="BB56" s="2088" t="str">
        <f>BE52&amp;"-"&amp;BG52</f>
        <v>-</v>
      </c>
      <c r="BC56" s="2946"/>
      <c r="BE56" s="1192"/>
      <c r="BF56" s="1192" t="str">
        <f>IF(T56="","",T56)</f>
        <v/>
      </c>
      <c r="BG56" s="1192"/>
      <c r="BH56" s="1192"/>
      <c r="BI56" s="1847">
        <v>11</v>
      </c>
    </row>
    <row customHeight="1" ht="11.549999999999999">
      <c r="A57" s="2055" t="s">
        <v>351</v>
      </c>
      <c r="B57" s="2055" t="s">
        <v>352</v>
      </c>
      <c r="C57" s="2055" t="s">
        <v>353</v>
      </c>
      <c r="D57" s="2055" t="s">
        <v>603</v>
      </c>
      <c r="E57" s="2951"/>
      <c r="F57" s="2951"/>
      <c r="G57" s="2951"/>
      <c r="H57" s="2951"/>
      <c r="I57" s="2978"/>
      <c r="J57" s="2948"/>
      <c r="K57" s="2055"/>
      <c r="L57" s="2056"/>
      <c r="P57" s="2949"/>
      <c r="Q57" s="2949"/>
      <c r="R57" s="1048"/>
      <c r="S57" s="1970"/>
      <c r="T57" s="979" t="s">
        <v>542</v>
      </c>
      <c r="U57" s="1059"/>
      <c r="V57" s="1059"/>
      <c r="W57" s="1059"/>
      <c r="X57" s="1059"/>
      <c r="Y57" s="1059"/>
      <c r="Z57" s="1059"/>
      <c r="AA57" s="1059"/>
      <c r="AB57" s="1059"/>
      <c r="AC57" s="1016"/>
      <c r="AD57" s="2197"/>
      <c r="AE57" s="1059"/>
      <c r="AF57" s="1059"/>
      <c r="AG57" s="1059"/>
      <c r="AH57" s="1059"/>
      <c r="AI57" s="1059"/>
      <c r="AJ57" s="1059"/>
      <c r="AK57" s="1059"/>
      <c r="AL57" s="1059"/>
      <c r="AM57" s="1059"/>
      <c r="AN57" s="1059"/>
      <c r="AO57" s="1059"/>
      <c r="AP57" s="1059"/>
      <c r="AQ57" s="1059"/>
      <c r="AR57" s="1059"/>
      <c r="AS57" s="1059"/>
      <c r="AT57" s="1059"/>
      <c r="AU57" s="1059"/>
      <c r="AV57" s="1059"/>
      <c r="AW57" s="1059"/>
      <c r="AX57" s="1059"/>
      <c r="AY57" s="1059"/>
      <c r="AZ57" s="1059"/>
      <c r="BA57" s="1059"/>
      <c r="BB57" s="1016"/>
      <c r="BC57" s="2947"/>
      <c r="BE57" s="1192"/>
      <c r="BF57" s="1192" t="str">
        <f>IF(T57="","",T57)</f>
        <v>Добавить строку</v>
      </c>
      <c r="BG57" s="1192"/>
      <c r="BH57" s="1192"/>
      <c r="BI57" s="1847">
        <v>11</v>
      </c>
    </row>
    <row s="61695" customFormat="1" customHeight="1" ht="0">
      <c r="A58" s="2035" t="s">
        <v>351</v>
      </c>
      <c r="B58" s="2035" t="s">
        <v>352</v>
      </c>
      <c r="C58" s="2035" t="s">
        <v>353</v>
      </c>
      <c r="D58" s="2035" t="s">
        <v>603</v>
      </c>
      <c r="E58" s="2951"/>
      <c r="F58" s="2951"/>
      <c r="G58" s="2951"/>
      <c r="H58" s="2951"/>
      <c r="I58" s="2948"/>
      <c r="J58" s="2035"/>
      <c r="K58" s="2035"/>
      <c r="L58" s="2038"/>
      <c r="M58" s="1202"/>
      <c r="N58" s="1202"/>
      <c r="O58" s="1202"/>
      <c r="P58" s="2949"/>
      <c r="Q58" s="2173"/>
      <c r="R58" s="1048"/>
      <c r="S58" s="2078"/>
      <c r="T58" s="2079"/>
      <c r="U58" s="2080"/>
      <c r="V58" s="2080"/>
      <c r="W58" s="2080"/>
      <c r="X58" s="2080"/>
      <c r="Y58" s="2080"/>
      <c r="Z58" s="2080"/>
      <c r="AA58" s="2080"/>
      <c r="AB58" s="2080"/>
      <c r="AC58" s="2080"/>
      <c r="AD58" s="2080"/>
      <c r="AE58" s="2080"/>
      <c r="AF58" s="2080"/>
      <c r="AG58" s="2080"/>
      <c r="AH58" s="2080"/>
      <c r="AI58" s="2080"/>
      <c r="AJ58" s="2080"/>
      <c r="AK58" s="2080"/>
      <c r="AL58" s="2080"/>
      <c r="AM58" s="2080"/>
      <c r="AN58" s="2080"/>
      <c r="AO58" s="2080"/>
      <c r="AP58" s="2080"/>
      <c r="AQ58" s="2080"/>
      <c r="AR58" s="2080"/>
      <c r="AS58" s="2080"/>
      <c r="AT58" s="2080"/>
      <c r="AU58" s="2080"/>
      <c r="AV58" s="2080"/>
      <c r="AW58" s="2080"/>
      <c r="AX58" s="2080"/>
      <c r="AY58" s="2080"/>
      <c r="AZ58" s="2080"/>
      <c r="BA58" s="2080"/>
      <c r="BB58" s="2080"/>
      <c r="BC58" s="2081"/>
      <c r="BE58" s="1192"/>
      <c r="BF58" s="1192" t="str">
        <f>IF(T58="","",T58)</f>
        <v/>
      </c>
      <c r="BG58" s="1192"/>
      <c r="BH58" s="1192"/>
      <c r="BI58" s="1203">
        <v>0</v>
      </c>
    </row>
    <row s="61695" customFormat="1" customHeight="1" ht="0">
      <c r="A59" s="2035" t="s">
        <v>351</v>
      </c>
      <c r="B59" s="2035" t="s">
        <v>352</v>
      </c>
      <c r="C59" s="2035" t="s">
        <v>353</v>
      </c>
      <c r="D59" s="2035" t="s">
        <v>603</v>
      </c>
      <c r="E59" s="2951"/>
      <c r="F59" s="2951"/>
      <c r="G59" s="2951"/>
      <c r="H59" s="2950"/>
      <c r="I59" s="2035"/>
      <c r="J59" s="2035"/>
      <c r="K59" s="2035"/>
      <c r="L59" s="2038"/>
      <c r="M59" s="2007"/>
      <c r="N59" s="2007"/>
      <c r="O59" s="1210"/>
      <c r="P59" s="1072"/>
      <c r="Q59" s="2036"/>
      <c r="R59" s="2093"/>
      <c r="S59" s="2078"/>
      <c r="T59" s="2079"/>
      <c r="U59" s="2080"/>
      <c r="V59" s="2080"/>
      <c r="W59" s="2080"/>
      <c r="X59" s="2080"/>
      <c r="Y59" s="2080"/>
      <c r="Z59" s="2080"/>
      <c r="AA59" s="2080"/>
      <c r="AB59" s="2080"/>
      <c r="AC59" s="2080"/>
      <c r="AD59" s="2080"/>
      <c r="AE59" s="2080"/>
      <c r="AF59" s="2080"/>
      <c r="AG59" s="2080"/>
      <c r="AH59" s="2080"/>
      <c r="AI59" s="2080"/>
      <c r="AJ59" s="2080"/>
      <c r="AK59" s="2080"/>
      <c r="AL59" s="2080"/>
      <c r="AM59" s="2080"/>
      <c r="AN59" s="2080"/>
      <c r="AO59" s="2080"/>
      <c r="AP59" s="2080"/>
      <c r="AQ59" s="2080"/>
      <c r="AR59" s="2080"/>
      <c r="AS59" s="2080"/>
      <c r="AT59" s="2080"/>
      <c r="AU59" s="2080"/>
      <c r="AV59" s="2080"/>
      <c r="AW59" s="2080"/>
      <c r="AX59" s="2080"/>
      <c r="AY59" s="2080"/>
      <c r="AZ59" s="2080"/>
      <c r="BA59" s="2080"/>
      <c r="BB59" s="2080"/>
      <c r="BC59" s="2081"/>
      <c r="BE59" s="1192"/>
      <c r="BF59" s="1192" t="str">
        <f>IF(T59="","",T59)</f>
        <v/>
      </c>
      <c r="BG59" s="1192"/>
      <c r="BH59" s="1192"/>
      <c r="BI59" s="1203">
        <v>0</v>
      </c>
    </row>
    <row s="61695" customFormat="1" customHeight="1" ht="0">
      <c r="A60" s="2035" t="s">
        <v>351</v>
      </c>
      <c r="B60" s="2035" t="s">
        <v>352</v>
      </c>
      <c r="C60" s="2035" t="s">
        <v>353</v>
      </c>
      <c r="D60" s="2006"/>
      <c r="E60" s="2951"/>
      <c r="F60" s="2951"/>
      <c r="G60" s="2950"/>
      <c r="H60" s="2006"/>
      <c r="I60" s="2006"/>
      <c r="J60" s="2006"/>
      <c r="K60" s="2006"/>
      <c r="L60" s="2186"/>
      <c r="M60" s="2007"/>
      <c r="N60" s="2007"/>
      <c r="P60" s="2008"/>
      <c r="Q60" s="2009"/>
      <c r="R60" s="2008"/>
      <c r="S60" s="2014"/>
      <c r="T60" s="2017"/>
      <c r="U60" s="2016"/>
      <c r="V60" s="2016"/>
      <c r="W60" s="2016"/>
      <c r="X60" s="2016"/>
      <c r="Y60" s="2016"/>
      <c r="Z60" s="2016"/>
      <c r="AA60" s="2016"/>
      <c r="AB60" s="2016"/>
      <c r="AC60" s="2016"/>
      <c r="AD60" s="2016"/>
      <c r="AE60" s="2016"/>
      <c r="AF60" s="2016"/>
      <c r="AG60" s="2016"/>
      <c r="AH60" s="2016"/>
      <c r="AI60" s="2016"/>
      <c r="AJ60" s="2016"/>
      <c r="AK60" s="2016"/>
      <c r="AL60" s="2016"/>
      <c r="AM60" s="2016"/>
      <c r="AN60" s="2016"/>
      <c r="AO60" s="2016"/>
      <c r="AP60" s="2016"/>
      <c r="AQ60" s="2016"/>
      <c r="AR60" s="2016"/>
      <c r="AS60" s="2016"/>
      <c r="AT60" s="2016"/>
      <c r="AU60" s="2016"/>
      <c r="AV60" s="2016"/>
      <c r="AW60" s="2016"/>
      <c r="AX60" s="2016"/>
      <c r="AY60" s="2016"/>
      <c r="AZ60" s="2016"/>
      <c r="BA60" s="2016"/>
      <c r="BB60" s="2016"/>
      <c r="BC60" s="2016"/>
      <c r="BE60" s="1481"/>
      <c r="BF60" s="1481" t="str">
        <f>IF(T60="","",T60)</f>
        <v/>
      </c>
      <c r="BG60" s="1481"/>
      <c r="BH60" s="1481"/>
      <c r="BI60" s="1210">
        <v>0</v>
      </c>
    </row>
    <row s="61695" customFormat="1" customHeight="1" ht="0">
      <c r="A61" s="2035" t="s">
        <v>351</v>
      </c>
      <c r="B61" s="2035" t="s">
        <v>352</v>
      </c>
      <c r="C61" s="2006"/>
      <c r="D61" s="2006"/>
      <c r="E61" s="2951"/>
      <c r="F61" s="2950"/>
      <c r="G61" s="2006"/>
      <c r="H61" s="2006"/>
      <c r="I61" s="2006"/>
      <c r="J61" s="2006"/>
      <c r="K61" s="2006"/>
      <c r="L61" s="2186"/>
      <c r="M61" s="2013"/>
      <c r="N61" s="2013"/>
      <c r="P61" s="2008"/>
      <c r="Q61" s="2009"/>
      <c r="R61" s="2008"/>
      <c r="S61" s="2014"/>
      <c r="T61" s="2017" t="s">
        <v>172</v>
      </c>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c r="AS61" s="2016"/>
      <c r="AT61" s="2016"/>
      <c r="AU61" s="2016"/>
      <c r="AV61" s="2016"/>
      <c r="AW61" s="2016"/>
      <c r="AX61" s="2016"/>
      <c r="AY61" s="2016"/>
      <c r="AZ61" s="2016"/>
      <c r="BA61" s="2016"/>
      <c r="BB61" s="2016"/>
      <c r="BC61" s="2016"/>
      <c r="BE61" s="1481"/>
      <c r="BF61" s="1481" t="str">
        <f>IF(T61="","",T61)</f>
        <v>Добавить централизованную систему для дифференциации</v>
      </c>
      <c r="BG61" s="1481"/>
      <c r="BH61" s="1481"/>
      <c r="BI61" s="1210">
        <v>0</v>
      </c>
    </row>
    <row s="61695" customFormat="1" customHeight="1" ht="0">
      <c r="A62" s="2035" t="s">
        <v>351</v>
      </c>
      <c r="B62" s="2035"/>
      <c r="C62" s="2035"/>
      <c r="D62" s="2035"/>
      <c r="E62" s="2950"/>
      <c r="F62" s="2035"/>
      <c r="G62" s="2035"/>
      <c r="H62" s="2035"/>
      <c r="I62" s="2035"/>
      <c r="J62" s="2035"/>
      <c r="K62" s="2035"/>
      <c r="L62" s="2038"/>
      <c r="M62" s="2013"/>
      <c r="N62" s="2013"/>
      <c r="O62" s="1210"/>
      <c r="P62" s="1072"/>
      <c r="Q62" s="2036"/>
      <c r="R62" s="1072"/>
      <c r="S62" s="2014"/>
      <c r="T62" s="2017" t="s">
        <v>173</v>
      </c>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c r="AS62" s="2016"/>
      <c r="AT62" s="2016"/>
      <c r="AU62" s="2016"/>
      <c r="AV62" s="2016"/>
      <c r="AW62" s="2016"/>
      <c r="AX62" s="2016"/>
      <c r="AY62" s="2016"/>
      <c r="AZ62" s="2016"/>
      <c r="BA62" s="2016"/>
      <c r="BB62" s="2016"/>
      <c r="BC62" s="2016"/>
      <c r="BE62" s="1192"/>
      <c r="BF62" s="1192" t="str">
        <f>IF(T62="","",T62)</f>
        <v>Добавить территорию для дифференциации</v>
      </c>
      <c r="BG62" s="1192"/>
      <c r="BH62" s="1192"/>
      <c r="BI62" s="1203">
        <v>0</v>
      </c>
    </row>
    <row s="61695" customFormat="1" customHeight="1" ht="0">
      <c r="A63" s="2006"/>
      <c r="B63" s="2006"/>
      <c r="C63" s="2006"/>
      <c r="D63" s="2006"/>
      <c r="E63" s="2035"/>
      <c r="F63" s="2006"/>
      <c r="G63" s="2006"/>
      <c r="H63" s="2006"/>
      <c r="I63" s="2006"/>
      <c r="J63" s="2006"/>
      <c r="K63" s="2006"/>
      <c r="L63" s="2186"/>
      <c r="M63" s="2013"/>
      <c r="N63" s="2013"/>
      <c r="P63" s="2008"/>
      <c r="Q63" s="2009"/>
      <c r="R63" s="2008"/>
      <c r="S63" s="2014"/>
      <c r="T63" s="2017" t="s">
        <v>186</v>
      </c>
      <c r="U63" s="2016"/>
      <c r="V63" s="2016"/>
      <c r="W63" s="2016"/>
      <c r="X63" s="2016"/>
      <c r="Y63" s="2016"/>
      <c r="Z63" s="2016"/>
      <c r="AA63" s="2016"/>
      <c r="AB63" s="2016"/>
      <c r="AC63" s="2016"/>
      <c r="AD63" s="2016"/>
      <c r="AE63" s="2016"/>
      <c r="AF63" s="2016"/>
      <c r="AG63" s="2016"/>
      <c r="AH63" s="2016"/>
      <c r="AI63" s="2016"/>
      <c r="AJ63" s="2016"/>
      <c r="AK63" s="2016"/>
      <c r="AL63" s="2016"/>
      <c r="AM63" s="2016"/>
      <c r="AN63" s="2016"/>
      <c r="AO63" s="2016"/>
      <c r="AP63" s="2016"/>
      <c r="AQ63" s="2016"/>
      <c r="AR63" s="2016"/>
      <c r="AS63" s="2016"/>
      <c r="AT63" s="2016"/>
      <c r="AU63" s="2016"/>
      <c r="AV63" s="2016"/>
      <c r="AW63" s="2016"/>
      <c r="AX63" s="2016"/>
      <c r="AY63" s="2016"/>
      <c r="AZ63" s="2016"/>
      <c r="BA63" s="2016"/>
      <c r="BB63" s="2016"/>
      <c r="BC63" s="2016"/>
      <c r="BE63" s="1481"/>
      <c r="BF63" s="1481" t="str">
        <f>IF(T63="","",T63)</f>
        <v>Добавить наименование тарифа</v>
      </c>
      <c r="BG63" s="1481"/>
      <c r="BH63" s="1481"/>
      <c r="BI63" s="1210">
        <v>0</v>
      </c>
    </row>
    <row customHeight="1" ht="11.549999999999999">
      <c r="M64" s="1852"/>
      <c r="N64" s="1852"/>
      <c r="O64" s="1229"/>
      <c r="P64" s="1852"/>
      <c r="Q64" s="1852"/>
      <c r="R64" s="1847"/>
      <c r="S64" s="1847"/>
      <c r="BD64" s="1847"/>
      <c r="BE64" s="1847"/>
      <c r="BF64" s="1847"/>
      <c r="BG64" s="1847"/>
      <c r="BH64" s="1847"/>
      <c r="BI64" s="1847">
        <v>11</v>
      </c>
    </row>
    <row customHeight="1" ht="14.699999999999998">
      <c r="O65" s="1229"/>
      <c r="S65" s="1945"/>
      <c r="T65" s="2977"/>
      <c r="U65" s="2977"/>
      <c r="V65" s="2977"/>
      <c r="W65" s="2977"/>
      <c r="X65" s="2977"/>
      <c r="Y65" s="2977"/>
      <c r="Z65" s="2977"/>
      <c r="AA65" s="2977"/>
      <c r="AB65" s="2977"/>
      <c r="AC65" s="2977"/>
      <c r="AD65" s="2977"/>
      <c r="AE65" s="2977"/>
      <c r="AF65" s="2977"/>
      <c r="AG65" s="2977"/>
      <c r="AH65" s="2977"/>
      <c r="AI65" s="2977"/>
      <c r="AJ65" s="2977"/>
      <c r="AK65" s="2977"/>
      <c r="AL65" s="2977"/>
      <c r="AM65" s="2977"/>
      <c r="AN65" s="2977"/>
      <c r="AO65" s="2977"/>
      <c r="AP65" s="2977"/>
      <c r="AQ65" s="2977"/>
      <c r="AR65" s="2977"/>
      <c r="AS65" s="2977"/>
      <c r="AT65" s="2977"/>
      <c r="AU65" s="2977"/>
      <c r="AV65" s="2977"/>
      <c r="AW65" s="2977"/>
      <c r="AX65" s="2977"/>
      <c r="AY65" s="2977"/>
      <c r="AZ65" s="2977"/>
      <c r="BA65" s="2977"/>
      <c r="BB65" s="2977"/>
      <c r="BC65" s="2977"/>
      <c r="BI65" s="1847">
        <v>14</v>
      </c>
    </row>
    <row customHeight="1" ht="14.699999999999998">
      <c r="O66" s="1229"/>
      <c r="T66" s="2172"/>
      <c r="U66" s="2172"/>
      <c r="V66" s="2172"/>
      <c r="W66" s="2172"/>
      <c r="X66" s="2172"/>
      <c r="Y66" s="2172"/>
      <c r="Z66" s="2172"/>
      <c r="AA66" s="2172"/>
      <c r="AB66" s="2172"/>
      <c r="AC66" s="2172"/>
      <c r="AD66" s="2172"/>
      <c r="AE66" s="2172"/>
      <c r="AF66" s="2172"/>
      <c r="AG66" s="2172"/>
      <c r="AH66" s="2172"/>
      <c r="AI66" s="2172"/>
      <c r="AJ66" s="2172"/>
      <c r="AK66" s="2172"/>
      <c r="AL66" s="2172"/>
      <c r="AM66" s="2172"/>
      <c r="AN66" s="2172"/>
      <c r="AO66" s="2172"/>
      <c r="AP66" s="2172"/>
      <c r="AQ66" s="2172"/>
      <c r="AR66" s="2172"/>
      <c r="AS66" s="2172"/>
      <c r="AT66" s="2172"/>
      <c r="AU66" s="2172"/>
      <c r="AV66" s="2172"/>
      <c r="AW66" s="2172"/>
      <c r="AX66" s="2172"/>
      <c r="AY66" s="2172"/>
      <c r="AZ66" s="2172"/>
      <c r="BA66" s="2172"/>
      <c r="BB66" s="2172"/>
      <c r="BC66" s="2172"/>
      <c r="BI66" s="1847">
        <v>14</v>
      </c>
    </row>
    <row customHeight="1" ht="14.699999999999998">
      <c r="O67" s="1229"/>
      <c r="S67" s="1945"/>
      <c r="T67" s="2977"/>
      <c r="U67" s="2977"/>
      <c r="V67" s="2977"/>
      <c r="W67" s="2977"/>
      <c r="X67" s="2977"/>
      <c r="Y67" s="2977"/>
      <c r="Z67" s="2977"/>
      <c r="AA67" s="2977"/>
      <c r="AB67" s="2977"/>
      <c r="AC67" s="2977"/>
      <c r="AD67" s="2977"/>
      <c r="AE67" s="2977"/>
      <c r="AF67" s="2977"/>
      <c r="AG67" s="2977"/>
      <c r="AH67" s="2977"/>
      <c r="AI67" s="2977"/>
      <c r="AJ67" s="2977"/>
      <c r="AK67" s="2977"/>
      <c r="AL67" s="2977"/>
      <c r="AM67" s="2977"/>
      <c r="AN67" s="2977"/>
      <c r="AO67" s="2977"/>
      <c r="AP67" s="2977"/>
      <c r="AQ67" s="2977"/>
      <c r="AR67" s="2977"/>
      <c r="AS67" s="2977"/>
      <c r="AT67" s="2977"/>
      <c r="AU67" s="2977"/>
      <c r="AV67" s="2977"/>
      <c r="AW67" s="2977"/>
      <c r="AX67" s="2977"/>
      <c r="AY67" s="2977"/>
      <c r="AZ67" s="2977"/>
      <c r="BA67" s="2977"/>
      <c r="BB67" s="2977"/>
      <c r="BC67" s="2977"/>
      <c r="BI67" s="1847">
        <v>14</v>
      </c>
    </row>
    <row customHeight="1" ht="14.699999999999998">
      <c r="O68" s="1229"/>
      <c r="BI68" s="1847">
        <v>14</v>
      </c>
    </row>
    <row customHeight="1" ht="14.25" hidden="1">
      <c r="A69" s="1852" t="s">
        <v>83</v>
      </c>
      <c r="B69" s="1852">
        <v>0</v>
      </c>
      <c r="C69" s="1852">
        <v>0</v>
      </c>
      <c r="D69" s="1852">
        <v>0</v>
      </c>
      <c r="E69" s="1852">
        <v>0</v>
      </c>
      <c r="F69" s="1852">
        <v>0</v>
      </c>
      <c r="G69" s="1852">
        <v>0</v>
      </c>
      <c r="H69" s="1852">
        <v>0</v>
      </c>
      <c r="I69" s="1852">
        <v>0</v>
      </c>
      <c r="J69" s="1852">
        <v>0</v>
      </c>
      <c r="K69" s="1852">
        <v>0</v>
      </c>
      <c r="L69" s="2170">
        <v>0</v>
      </c>
      <c r="M69" s="2054">
        <v>0</v>
      </c>
      <c r="N69" s="2054">
        <v>0</v>
      </c>
      <c r="O69" s="2054">
        <v>0</v>
      </c>
      <c r="P69" s="2054">
        <v>0</v>
      </c>
      <c r="Q69" s="2063">
        <v>0</v>
      </c>
      <c r="R69" s="1036">
        <v>3</v>
      </c>
      <c r="S69" s="1273">
        <v>12</v>
      </c>
      <c r="T69" s="1847">
        <v>31</v>
      </c>
      <c r="U69" s="1847">
        <v>0</v>
      </c>
      <c r="V69" s="1847">
        <v>0</v>
      </c>
      <c r="W69" s="1847">
        <v>0</v>
      </c>
      <c r="X69" s="1847">
        <v>0</v>
      </c>
      <c r="Y69" s="1847">
        <v>0</v>
      </c>
      <c r="Z69" s="1847">
        <v>0</v>
      </c>
      <c r="AA69" s="1847">
        <v>0</v>
      </c>
      <c r="AB69" s="1847">
        <v>0</v>
      </c>
      <c r="AC69" s="1847">
        <v>0</v>
      </c>
      <c r="AD69" s="1847">
        <v>3</v>
      </c>
      <c r="AE69" s="1847">
        <v>3</v>
      </c>
      <c r="AF69" s="1847">
        <v>3</v>
      </c>
      <c r="AG69" s="1847">
        <v>24</v>
      </c>
      <c r="AH69" s="1847">
        <v>3</v>
      </c>
      <c r="AI69" s="1847">
        <v>3</v>
      </c>
      <c r="AJ69" s="1847">
        <v>3</v>
      </c>
      <c r="AK69" s="1847">
        <v>24</v>
      </c>
      <c r="AL69" s="1847">
        <v>3</v>
      </c>
      <c r="AM69" s="1847">
        <v>3</v>
      </c>
      <c r="AN69" s="1847">
        <v>3</v>
      </c>
      <c r="AO69" s="1847">
        <v>18</v>
      </c>
      <c r="AP69" s="1847">
        <v>3</v>
      </c>
      <c r="AQ69" s="1847">
        <v>3</v>
      </c>
      <c r="AR69" s="1847">
        <v>3</v>
      </c>
      <c r="AS69" s="1847">
        <v>18</v>
      </c>
      <c r="AT69" s="1847">
        <v>21</v>
      </c>
      <c r="AU69" s="1847">
        <v>21</v>
      </c>
      <c r="AV69" s="1847">
        <v>21</v>
      </c>
      <c r="AW69" s="1847">
        <v>21</v>
      </c>
      <c r="AX69" s="1847">
        <v>11</v>
      </c>
      <c r="AY69" s="1847">
        <v>3</v>
      </c>
      <c r="AZ69" s="1847">
        <v>11</v>
      </c>
      <c r="BA69" s="1847">
        <v>0</v>
      </c>
      <c r="BB69" s="1847">
        <v>4</v>
      </c>
      <c r="BC69" s="1847">
        <v>115</v>
      </c>
      <c r="BD69" s="1203">
        <v>10</v>
      </c>
      <c r="BE69" s="1203">
        <v>10</v>
      </c>
      <c r="BF69" s="1203">
        <v>10</v>
      </c>
      <c r="BG69" s="1203">
        <v>10</v>
      </c>
      <c r="BH69" s="1203">
        <v>10</v>
      </c>
      <c r="BI69" s="1847">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C41F69-B3F2-52D5-B13C-FD8A3BB41893}" mc:Ignorable="x14ac xr xr2 xr3">
  <sheetPr>
    <tabColor rgb="FFCCCCFF"/>
    <pageSetUpPr fitToPage="1"/>
  </sheetPr>
  <dimension ref="A1:AC35"/>
  <sheetViews>
    <sheetView showGridLines="0" zoomScale="90" workbookViewId="0">
      <pane xSplit="6" ySplit="11" topLeftCell="G12" activePane="bottomRight" state="frozen"/>
      <selection pane="bottomLeft" activeCell="A12" sqref="A12"/>
      <selection pane="topRight" activeCell="G1" sqref="G1"/>
      <selection pane="bottomRight" activeCell="G18" sqref="G18"/>
    </sheetView>
  </sheetViews>
  <sheetFormatPr defaultColWidth="9.140625" customHeight="1" defaultRowHeight="14.25"/>
  <cols>
    <col min="1" max="1" style="62286" width="8.00390625" hidden="1" customWidth="1"/>
    <col min="2" max="2" style="62148" width="6.00390625" hidden="1" customWidth="1"/>
    <col min="3" max="3" style="62286" width="3.00390625" customWidth="1"/>
    <col min="4" max="4" style="62687" width="3.00390625" customWidth="1"/>
    <col min="5" max="5" style="62286" width="6.00390625" customWidth="1"/>
    <col min="6" max="6" style="62286" width="2.7109375" hidden="1" customWidth="1"/>
    <col min="7" max="7" style="62286" width="46.7109375" customWidth="1"/>
    <col min="8" max="8" style="62286" width="42.00390625" customWidth="1"/>
    <col min="9" max="9" style="62286" width="14.00390625" customWidth="1"/>
    <col min="10" max="10" style="62151" width="3.00390625" customWidth="1"/>
    <col min="11" max="13" style="62151" width="9.140625" hidden="1"/>
    <col min="14" max="14" style="62151" width="25.7109375" hidden="1" customWidth="1"/>
    <col min="15" max="15" style="62151" width="14.421875" hidden="1" customWidth="1"/>
    <col min="16" max="19" style="57600" width="9.140625" hidden="1"/>
    <col min="20" max="27" style="62286" width="9.140625" hidden="1"/>
    <col min="28" max="28" style="62286" width="8.00390625" customWidth="1"/>
    <col min="29" max="29" style="62286" width="9.140625" hidden="1"/>
  </cols>
  <sheetData>
    <row s="61695" customFormat="1" customHeight="1" ht="5.25" hidden="1">
      <c r="A1" s="1188"/>
      <c r="B1" s="1203"/>
      <c r="C1" s="1203"/>
      <c r="D1" s="913"/>
      <c r="F1" s="1203"/>
      <c r="G1" s="939" t="s">
        <v>84</v>
      </c>
      <c r="H1" s="1186" t="s">
        <v>85</v>
      </c>
      <c r="I1" s="919" t="s">
        <v>86</v>
      </c>
      <c r="J1" s="939" t="s">
        <v>84</v>
      </c>
      <c r="K1" s="939"/>
      <c r="L1" s="939"/>
      <c r="M1" s="939"/>
      <c r="N1" s="940"/>
      <c r="O1" s="939"/>
      <c r="P1" s="939"/>
      <c r="Q1" s="939"/>
      <c r="R1" s="939"/>
      <c r="S1" s="939"/>
      <c r="T1" s="919"/>
      <c r="U1" s="919"/>
      <c r="V1" s="919"/>
      <c r="W1" s="919"/>
      <c r="X1" s="919"/>
      <c r="Y1" s="919"/>
      <c r="Z1" s="919"/>
      <c r="AA1" s="919"/>
      <c r="AB1" s="919"/>
      <c r="AC1" s="844" t="s">
        <v>14</v>
      </c>
    </row>
    <row s="61374" customFormat="1" customHeight="1" ht="11.25">
      <c r="A2" s="1523"/>
      <c r="B2" s="920"/>
      <c r="C2" s="920"/>
      <c r="D2" s="921"/>
      <c r="E2" s="920"/>
      <c r="F2" s="920"/>
      <c r="G2" s="920"/>
      <c r="H2" s="920"/>
      <c r="I2" s="920"/>
      <c r="J2" s="939"/>
      <c r="K2" s="939"/>
      <c r="L2" s="939"/>
      <c r="M2" s="939"/>
      <c r="N2" s="940"/>
      <c r="O2" s="939"/>
      <c r="P2" s="922"/>
      <c r="Q2" s="922"/>
      <c r="R2" s="922"/>
      <c r="S2" s="922"/>
      <c r="T2" s="921"/>
      <c r="U2" s="921"/>
      <c r="V2" s="921"/>
      <c r="W2" s="921"/>
      <c r="X2" s="921"/>
      <c r="Y2" s="921"/>
      <c r="Z2" s="921"/>
      <c r="AA2" s="921"/>
      <c r="AB2" s="921"/>
      <c r="AC2" s="923">
        <v>11</v>
      </c>
    </row>
    <row s="58273" customFormat="1" customHeight="1" ht="3">
      <c r="A3" s="1450"/>
      <c r="B3" s="1109"/>
      <c r="C3" s="1450"/>
      <c r="D3" s="856"/>
      <c r="E3" s="795"/>
      <c r="F3" s="1201"/>
      <c r="G3" s="795"/>
      <c r="H3" s="795"/>
      <c r="I3" s="858"/>
      <c r="J3" s="939"/>
      <c r="K3" s="847"/>
      <c r="L3" s="847"/>
      <c r="M3" s="847"/>
      <c r="N3" s="918"/>
      <c r="O3" s="847"/>
      <c r="P3" s="917"/>
      <c r="Q3" s="917"/>
      <c r="R3" s="917"/>
      <c r="S3" s="917"/>
      <c r="AC3" s="808">
        <v>3</v>
      </c>
    </row>
    <row s="58273" customFormat="1" customHeight="1" ht="27.299999999999997">
      <c r="A4" s="1450"/>
      <c r="B4" s="1109"/>
      <c r="C4" s="1450"/>
      <c r="D4" s="856"/>
      <c r="E4" s="2792" t="str">
        <f>NameTemplatesInListMO</f>
        <v>Перечень муниципальных районов и муниципальных образований (территорий действия тарифа)</v>
      </c>
      <c r="F4" s="2792"/>
      <c r="G4" s="2792"/>
      <c r="H4" s="2792"/>
      <c r="I4" s="2792"/>
      <c r="J4" s="939"/>
      <c r="K4" s="847"/>
      <c r="L4" s="847"/>
      <c r="M4" s="847"/>
      <c r="N4" s="918"/>
      <c r="O4" s="847"/>
      <c r="P4" s="917"/>
      <c r="Q4" s="917"/>
      <c r="R4" s="917"/>
      <c r="S4" s="917"/>
      <c r="AC4" s="808">
        <v>26</v>
      </c>
    </row>
    <row s="58273" customFormat="1" customHeight="1" ht="3">
      <c r="A5" s="1450"/>
      <c r="B5" s="1109"/>
      <c r="C5" s="1450"/>
      <c r="D5" s="856"/>
      <c r="E5" s="795"/>
      <c r="F5" s="1201"/>
      <c r="G5" s="859"/>
      <c r="H5" s="859"/>
      <c r="I5" s="860"/>
      <c r="J5" s="847"/>
      <c r="K5" s="847"/>
      <c r="L5" s="847"/>
      <c r="M5" s="847"/>
      <c r="N5" s="918"/>
      <c r="O5" s="847"/>
      <c r="P5" s="917"/>
      <c r="Q5" s="917"/>
      <c r="R5" s="917"/>
      <c r="S5" s="917"/>
      <c r="AC5" s="808">
        <v>3</v>
      </c>
    </row>
    <row s="58273" customFormat="1" customHeight="1" ht="20.25" hidden="1">
      <c r="A6" s="1529"/>
      <c r="B6" s="1525"/>
      <c r="C6" s="861"/>
      <c r="D6" s="856"/>
      <c r="E6" s="1471"/>
      <c r="F6" s="1471"/>
      <c r="G6" s="859"/>
      <c r="H6" s="862"/>
      <c r="I6" s="862"/>
      <c r="J6" s="847"/>
      <c r="K6" s="847"/>
      <c r="L6" s="847"/>
      <c r="M6" s="847"/>
      <c r="N6" s="918"/>
      <c r="O6" s="847"/>
      <c r="P6" s="917"/>
      <c r="Q6" s="917"/>
      <c r="R6" s="917"/>
      <c r="S6" s="917"/>
      <c r="AC6" s="808">
        <v>0</v>
      </c>
    </row>
    <row customHeight="1" ht="25.5" hidden="1">
      <c r="AC7" s="775">
        <v>0</v>
      </c>
    </row>
    <row s="58273" customFormat="1" customHeight="1" ht="14.699999999999998">
      <c r="A8" s="1450"/>
      <c r="B8" s="1109"/>
      <c r="C8" s="1450"/>
      <c r="D8" s="856"/>
      <c r="E8" s="2793" t="s">
        <v>87</v>
      </c>
      <c r="F8" s="2794"/>
      <c r="G8" s="2795"/>
      <c r="H8" s="2796" t="s">
        <v>88</v>
      </c>
      <c r="I8" s="2796"/>
      <c r="J8" s="847"/>
      <c r="K8" s="847"/>
      <c r="L8" s="847"/>
      <c r="M8" s="847"/>
      <c r="N8" s="918"/>
      <c r="O8" s="847"/>
      <c r="P8" s="917"/>
      <c r="Q8" s="917"/>
      <c r="R8" s="917"/>
      <c r="S8" s="917"/>
      <c r="AC8" s="808">
        <v>14</v>
      </c>
    </row>
    <row s="58273" customFormat="1" customHeight="1" ht="21">
      <c r="A9" s="1450"/>
      <c r="B9" s="1109"/>
      <c r="C9" s="1450"/>
      <c r="D9" s="856"/>
      <c r="E9" s="1469" t="s">
        <v>89</v>
      </c>
      <c r="F9" s="1469"/>
      <c r="G9" s="864" t="s">
        <v>90</v>
      </c>
      <c r="H9" s="864" t="s">
        <v>90</v>
      </c>
      <c r="I9" s="864" t="s">
        <v>86</v>
      </c>
      <c r="J9" s="847"/>
      <c r="K9" s="847"/>
      <c r="L9" s="847"/>
      <c r="M9" s="847"/>
      <c r="N9" s="918"/>
      <c r="O9" s="847"/>
      <c r="P9" s="917"/>
      <c r="Q9" s="917"/>
      <c r="R9" s="917"/>
      <c r="S9" s="917"/>
      <c r="AC9" s="808">
        <v>20</v>
      </c>
    </row>
    <row customHeight="1" ht="11.549999999999999">
      <c r="D10" s="868"/>
      <c r="E10" s="1470" t="s">
        <v>91</v>
      </c>
      <c r="F10" s="1470"/>
      <c r="G10" s="915" t="s">
        <v>92</v>
      </c>
      <c r="H10" s="915" t="s">
        <v>93</v>
      </c>
      <c r="I10" s="915" t="s">
        <v>94</v>
      </c>
      <c r="J10" s="878"/>
      <c r="K10" s="878"/>
      <c r="L10" s="878"/>
      <c r="M10" s="878"/>
      <c r="N10" s="863"/>
      <c r="O10" s="878"/>
      <c r="P10" s="916"/>
      <c r="Q10" s="916"/>
      <c r="R10" s="916"/>
      <c r="S10" s="916"/>
      <c r="AC10" s="775">
        <v>11</v>
      </c>
    </row>
    <row s="58273" customFormat="1" customHeight="1" ht="1.05">
      <c r="A11" s="1450"/>
      <c r="B11" s="1109"/>
      <c r="C11" s="1450"/>
      <c r="D11" s="856"/>
      <c r="E11" s="1482"/>
      <c r="F11" s="1482"/>
      <c r="G11" s="865"/>
      <c r="H11" s="865"/>
      <c r="I11" s="867"/>
      <c r="J11" s="941" t="s">
        <v>95</v>
      </c>
      <c r="K11" s="847"/>
      <c r="L11" s="847"/>
      <c r="M11" s="847" t="s">
        <v>96</v>
      </c>
      <c r="N11" s="918" t="s">
        <v>97</v>
      </c>
      <c r="O11" s="847" t="s">
        <v>98</v>
      </c>
      <c r="P11" s="917"/>
      <c r="Q11" s="917"/>
      <c r="R11" s="917"/>
      <c r="S11" s="917"/>
      <c r="AC11" s="808">
        <v>1</v>
      </c>
    </row>
    <row s="58273" customFormat="1" customHeight="1" ht="15">
      <c r="A12" s="2791">
        <v>1</v>
      </c>
      <c r="B12" s="1109"/>
      <c r="C12" s="1450"/>
      <c r="D12" s="1474"/>
      <c r="E12" s="911">
        <f>A12</f>
        <v>1</v>
      </c>
      <c r="F12" s="1494" t="s">
        <v>99</v>
      </c>
      <c r="G12" s="1232" t="str">
        <f>"Территория "&amp;E12</f>
        <v>Территория 1</v>
      </c>
      <c r="H12" s="1484"/>
      <c r="I12" s="1484"/>
      <c r="J12" s="1481"/>
      <c r="K12" s="1192"/>
      <c r="L12" s="1192"/>
      <c r="M12" s="1192"/>
      <c r="N12" s="918"/>
      <c r="O12" s="1192"/>
      <c r="P12" s="917"/>
      <c r="Q12" s="917"/>
      <c r="R12" s="917"/>
      <c r="S12" s="917"/>
      <c r="AC12" s="1199">
        <v>14</v>
      </c>
    </row>
    <row s="63225" customFormat="1" customHeight="1" ht="15.75">
      <c r="A13" s="2791"/>
      <c r="B13" s="1109">
        <v>1</v>
      </c>
      <c r="C13" s="1109"/>
      <c r="D13" s="1492"/>
      <c r="E13" s="1472" t="str">
        <f>A12&amp;"."&amp;B13</f>
        <v>1.1</v>
      </c>
      <c r="F13" s="1487" t="s">
        <v>91</v>
      </c>
      <c r="G13" s="1485" t="s">
        <v>100</v>
      </c>
      <c r="H13" s="1485" t="s">
        <v>100</v>
      </c>
      <c r="I13" s="1483" t="s">
        <v>101</v>
      </c>
      <c r="J13" s="1192">
        <f>MERGEVALUE(G13)</f>
      </c>
      <c r="K13" s="1203"/>
      <c r="L13" s="1203"/>
      <c r="M13" s="1192" t="str">
        <f t="array" ref="M13:M13">IF(ISERROR(MATCH(MID(N13,1,250),MID(note_ter,1,250),0)),"n","y")</f>
        <v>n</v>
      </c>
      <c r="N13" s="1203"/>
      <c r="O13" s="1192" t="str">
        <f>H13&amp;"("&amp;I13&amp;")"</f>
        <v>Артемовский городской округ(05705000)</v>
      </c>
      <c r="P13" s="1109"/>
      <c r="Q13" s="1109"/>
      <c r="R13" s="1112"/>
      <c r="S13" s="1109"/>
      <c r="T13" s="1109"/>
      <c r="U13" s="1109"/>
      <c r="V13" s="1114"/>
      <c r="W13" s="1114"/>
      <c r="X13" s="1111"/>
      <c r="Y13" s="1111"/>
      <c r="Z13" s="1111"/>
      <c r="AA13" s="1111"/>
      <c r="AB13" s="1111"/>
      <c r="AC13" s="1115">
        <v>15</v>
      </c>
    </row>
    <row s="63225" customFormat="1" customHeight="1" ht="15.75">
      <c r="A14" s="2791"/>
      <c r="B14" s="1109"/>
      <c r="C14" s="1104"/>
      <c r="D14" s="1493"/>
      <c r="E14" s="1113"/>
      <c r="F14" s="869"/>
      <c r="G14" s="1107" t="s">
        <v>102</v>
      </c>
      <c r="H14" s="879"/>
      <c r="I14" s="1116"/>
      <c r="J14" s="1203"/>
      <c r="K14" s="1203"/>
      <c r="L14" s="1203"/>
      <c r="M14" s="1203"/>
      <c r="N14" s="1192"/>
      <c r="O14" s="1203"/>
      <c r="P14" s="1109"/>
      <c r="Q14" s="1109"/>
      <c r="R14" s="1112"/>
      <c r="S14" s="1109"/>
      <c r="T14" s="1109"/>
      <c r="U14" s="1109"/>
      <c r="V14" s="1114"/>
      <c r="W14" s="1114"/>
      <c r="X14" s="1111"/>
      <c r="Y14" s="1111"/>
      <c r="Z14" s="1111"/>
      <c r="AA14" s="1111"/>
      <c r="AB14" s="1111"/>
      <c r="AC14" s="1115">
        <v>15</v>
      </c>
    </row>
    <row customHeight="1" ht="15">
      <c r="A15" s="2909" t="s">
        <v>103</v>
      </c>
      <c r="B15" s="1852"/>
      <c r="C15" s="1493" t="s">
        <v>104</v>
      </c>
      <c r="D15" s="2510"/>
      <c r="E15" s="2497" t="str">
        <f>A15</f>
        <v>2</v>
      </c>
      <c r="F15" s="1496" t="s">
        <v>105</v>
      </c>
      <c r="G15" s="1232" t="str">
        <f>"Территория "&amp;E15</f>
        <v>Территория 2</v>
      </c>
      <c r="H15" s="1484"/>
      <c r="I15" s="1484"/>
      <c r="J15" s="1481"/>
      <c r="K15" s="2316"/>
      <c r="L15" s="2316"/>
      <c r="M15" s="2316"/>
      <c r="N15" s="918"/>
      <c r="O15" s="2316"/>
      <c r="P15" s="917"/>
      <c r="Q15" s="917"/>
      <c r="R15" s="917"/>
      <c r="S15" s="917"/>
      <c r="T15" s="3569"/>
      <c r="U15" s="3569"/>
      <c r="V15" s="3569"/>
      <c r="W15" s="3569"/>
      <c r="X15" s="3569"/>
      <c r="Y15" s="3569"/>
      <c r="Z15" s="3569"/>
      <c r="AA15" s="3569"/>
      <c r="AB15" s="3569"/>
      <c r="AC15" s="3569"/>
    </row>
    <row customHeight="1" ht="15">
      <c r="A16" s="2909"/>
      <c r="B16" s="1852">
        <v>1</v>
      </c>
      <c r="C16" s="1852"/>
      <c r="D16" s="1492"/>
      <c r="E16" s="2505" t="str">
        <f>A15&amp;"."&amp;B16</f>
        <v>2.1</v>
      </c>
      <c r="F16" s="1495" t="s">
        <v>92</v>
      </c>
      <c r="G16" s="1485" t="s">
        <v>106</v>
      </c>
      <c r="H16" s="1485" t="s">
        <v>106</v>
      </c>
      <c r="I16" s="1483" t="s">
        <v>107</v>
      </c>
      <c r="J16" s="2316"/>
      <c r="K16" s="2328"/>
      <c r="L16" s="2328"/>
      <c r="M16" s="2316" t="str">
        <f t="array" ref="M16:M16">IF(ISERROR(MATCH(MID(N16,1,250),MID(note_ter,1,250),0)),"n","y")</f>
        <v>n</v>
      </c>
      <c r="N16" s="2328"/>
      <c r="O16" s="2316" t="str">
        <f>H16&amp;"("&amp;I16&amp;")"</f>
        <v>Владивостокский городской округ(05701000)</v>
      </c>
      <c r="P16" s="1852"/>
      <c r="Q16" s="1852"/>
      <c r="R16" s="1112"/>
      <c r="S16" s="1852"/>
      <c r="T16" s="1852"/>
      <c r="U16" s="1852"/>
      <c r="V16" s="1114"/>
      <c r="W16" s="1114"/>
      <c r="X16" s="1111"/>
      <c r="Y16" s="1111"/>
      <c r="Z16" s="1111"/>
      <c r="AA16" s="1111"/>
      <c r="AB16" s="1111"/>
      <c r="AC16" s="1111"/>
    </row>
    <row customHeight="1" ht="15">
      <c r="A17" s="2909"/>
      <c r="B17" s="1852"/>
      <c r="C17" s="1104"/>
      <c r="D17" s="1493"/>
      <c r="E17" s="1113"/>
      <c r="F17" s="869"/>
      <c r="G17" s="1107" t="s">
        <v>102</v>
      </c>
      <c r="H17" s="879"/>
      <c r="I17" s="1116"/>
      <c r="J17" s="2328"/>
      <c r="K17" s="2328"/>
      <c r="L17" s="2328"/>
      <c r="M17" s="2328"/>
      <c r="N17" s="2316"/>
      <c r="O17" s="2328"/>
      <c r="P17" s="1852"/>
      <c r="Q17" s="1852"/>
      <c r="R17" s="1112"/>
      <c r="S17" s="1852"/>
      <c r="T17" s="1852"/>
      <c r="U17" s="1852"/>
      <c r="V17" s="1114"/>
      <c r="W17" s="1114"/>
      <c r="X17" s="1111"/>
      <c r="Y17" s="1111"/>
      <c r="Z17" s="1111"/>
      <c r="AA17" s="1111"/>
      <c r="AB17" s="1111"/>
      <c r="AC17" s="1111"/>
    </row>
    <row customHeight="1" ht="15">
      <c r="A18" s="2909" t="s">
        <v>91</v>
      </c>
      <c r="B18" s="1852"/>
      <c r="C18" s="1493" t="s">
        <v>104</v>
      </c>
      <c r="D18" s="2510"/>
      <c r="E18" s="2497" t="str">
        <f>A18</f>
        <v>3</v>
      </c>
      <c r="F18" s="1496" t="s">
        <v>108</v>
      </c>
      <c r="G18" s="1232" t="str">
        <f>"Территория "&amp;E18</f>
        <v>Территория 3</v>
      </c>
      <c r="H18" s="1484"/>
      <c r="I18" s="1484"/>
      <c r="J18" s="1481"/>
      <c r="K18" s="2316"/>
      <c r="L18" s="2316"/>
      <c r="M18" s="2316"/>
      <c r="N18" s="918"/>
      <c r="O18" s="2316"/>
      <c r="P18" s="917"/>
      <c r="Q18" s="917"/>
      <c r="R18" s="917"/>
      <c r="S18" s="917"/>
      <c r="T18" s="3569"/>
      <c r="U18" s="3569"/>
      <c r="V18" s="3569"/>
      <c r="W18" s="3569"/>
      <c r="X18" s="3569"/>
      <c r="Y18" s="3569"/>
      <c r="Z18" s="3569"/>
      <c r="AA18" s="3569"/>
      <c r="AB18" s="3569"/>
      <c r="AC18" s="3569"/>
    </row>
    <row customHeight="1" ht="15">
      <c r="A19" s="2909"/>
      <c r="B19" s="1852">
        <v>1</v>
      </c>
      <c r="C19" s="1852"/>
      <c r="D19" s="1492"/>
      <c r="E19" s="2505" t="str">
        <f>A18&amp;"."&amp;B19</f>
        <v>3.1</v>
      </c>
      <c r="F19" s="1495" t="s">
        <v>109</v>
      </c>
      <c r="G19" s="1485" t="s">
        <v>110</v>
      </c>
      <c r="H19" s="1485" t="s">
        <v>110</v>
      </c>
      <c r="I19" s="1483" t="s">
        <v>111</v>
      </c>
      <c r="J19" s="2316"/>
      <c r="K19" s="2328"/>
      <c r="L19" s="2328"/>
      <c r="M19" s="2316" t="str">
        <f t="array" ref="M19:M19">IF(ISERROR(MATCH(MID(N19,1,250),MID(note_ter,1,250),0)),"n","y")</f>
        <v>n</v>
      </c>
      <c r="N19" s="2328"/>
      <c r="O19" s="2316" t="str">
        <f>H19&amp;"("&amp;I19&amp;")"</f>
        <v>Партизанский городской округ(05717000)</v>
      </c>
      <c r="P19" s="1852"/>
      <c r="Q19" s="1852"/>
      <c r="R19" s="1112"/>
      <c r="S19" s="1852"/>
      <c r="T19" s="1852"/>
      <c r="U19" s="1852"/>
      <c r="V19" s="1114"/>
      <c r="W19" s="1114"/>
      <c r="X19" s="1111"/>
      <c r="Y19" s="1111"/>
      <c r="Z19" s="1111"/>
      <c r="AA19" s="1111"/>
      <c r="AB19" s="1111"/>
      <c r="AC19" s="1111"/>
    </row>
    <row customHeight="1" ht="15">
      <c r="A20" s="2909"/>
      <c r="B20" s="1852"/>
      <c r="C20" s="1104"/>
      <c r="D20" s="1493"/>
      <c r="E20" s="1113"/>
      <c r="F20" s="869"/>
      <c r="G20" s="1107" t="s">
        <v>102</v>
      </c>
      <c r="H20" s="879"/>
      <c r="I20" s="1116"/>
      <c r="J20" s="2328"/>
      <c r="K20" s="2328"/>
      <c r="L20" s="2328"/>
      <c r="M20" s="2328"/>
      <c r="N20" s="2316"/>
      <c r="O20" s="2328"/>
      <c r="P20" s="1852"/>
      <c r="Q20" s="1852"/>
      <c r="R20" s="1112"/>
      <c r="S20" s="1852"/>
      <c r="T20" s="1852"/>
      <c r="U20" s="1852"/>
      <c r="V20" s="1114"/>
      <c r="W20" s="1114"/>
      <c r="X20" s="1111"/>
      <c r="Y20" s="1111"/>
      <c r="Z20" s="1111"/>
      <c r="AA20" s="1111"/>
      <c r="AB20" s="1111"/>
      <c r="AC20" s="1111"/>
    </row>
    <row s="58273" customFormat="1" customHeight="1" ht="14.699999999999998">
      <c r="A21" s="1450"/>
      <c r="B21" s="1109"/>
      <c r="C21" s="1450"/>
      <c r="D21" s="1474"/>
      <c r="E21" s="1486"/>
      <c r="F21" s="870"/>
      <c r="G21" s="1108" t="s">
        <v>112</v>
      </c>
      <c r="H21" s="870"/>
      <c r="I21" s="871"/>
      <c r="J21" s="941"/>
      <c r="K21" s="847"/>
      <c r="L21" s="847"/>
      <c r="M21" s="847"/>
      <c r="N21" s="918" t="s">
        <v>113</v>
      </c>
      <c r="O21" s="847"/>
      <c r="P21" s="917"/>
      <c r="Q21" s="917"/>
      <c r="R21" s="917"/>
      <c r="S21" s="917"/>
      <c r="AC21" s="808">
        <v>14</v>
      </c>
    </row>
    <row s="58273" customFormat="1" customHeight="1" ht="22.049999999999997">
      <c r="A22" s="1450"/>
      <c r="B22" s="1109"/>
      <c r="C22" s="1450"/>
      <c r="D22" s="857"/>
      <c r="E22" s="872"/>
      <c r="F22" s="872"/>
      <c r="G22" s="872"/>
      <c r="H22" s="872"/>
      <c r="I22" s="872"/>
      <c r="J22" s="847"/>
      <c r="K22" s="847"/>
      <c r="L22" s="847"/>
      <c r="M22" s="847"/>
      <c r="N22" s="918"/>
      <c r="O22" s="847"/>
      <c r="P22" s="917"/>
      <c r="Q22" s="917"/>
      <c r="R22" s="917"/>
      <c r="S22" s="917"/>
      <c r="AC22" s="808">
        <v>21</v>
      </c>
    </row>
    <row s="58273" customFormat="1" customHeight="1" ht="14.699999999999998">
      <c r="A23" s="1450"/>
      <c r="B23" s="1109"/>
      <c r="C23" s="1450"/>
      <c r="D23" s="857"/>
      <c r="E23" s="775"/>
      <c r="F23" s="1450"/>
      <c r="G23" s="775"/>
      <c r="H23" s="775"/>
      <c r="I23" s="775"/>
      <c r="J23" s="847"/>
      <c r="K23" s="847"/>
      <c r="L23" s="847"/>
      <c r="M23" s="847"/>
      <c r="N23" s="918"/>
      <c r="O23" s="847"/>
      <c r="P23" s="917"/>
      <c r="Q23" s="917"/>
      <c r="R23" s="917"/>
      <c r="S23" s="917"/>
      <c r="AC23" s="808">
        <v>14</v>
      </c>
    </row>
    <row s="58273" customFormat="1" customHeight="1" ht="1.05">
      <c r="A24" s="1450"/>
      <c r="B24" s="1109"/>
      <c r="C24" s="1450"/>
      <c r="D24" s="857"/>
      <c r="E24" s="775"/>
      <c r="F24" s="1450"/>
      <c r="G24" s="775"/>
      <c r="H24" s="775"/>
      <c r="I24" s="775"/>
      <c r="J24" s="847"/>
      <c r="K24" s="847"/>
      <c r="L24" s="847"/>
      <c r="M24" s="847"/>
      <c r="N24" s="918"/>
      <c r="O24" s="847"/>
      <c r="P24" s="917"/>
      <c r="Q24" s="917"/>
      <c r="R24" s="917"/>
      <c r="S24" s="917"/>
      <c r="AC24" s="808">
        <v>1</v>
      </c>
    </row>
    <row s="62106" customFormat="1" customHeight="1" ht="10.5">
      <c r="B25" s="1526"/>
      <c r="D25" s="874"/>
      <c r="J25" s="847"/>
      <c r="K25" s="847"/>
      <c r="L25" s="847"/>
      <c r="M25" s="847"/>
      <c r="N25" s="918"/>
      <c r="O25" s="847"/>
      <c r="P25" s="917"/>
      <c r="Q25" s="917"/>
      <c r="R25" s="917"/>
      <c r="S25" s="917"/>
      <c r="AC25" s="873">
        <v>10</v>
      </c>
    </row>
    <row s="62106" customFormat="1" customHeight="1" ht="10.5">
      <c r="B26" s="1526"/>
      <c r="D26" s="874"/>
      <c r="J26" s="847"/>
      <c r="K26" s="847"/>
      <c r="L26" s="847"/>
      <c r="M26" s="847"/>
      <c r="N26" s="918"/>
      <c r="O26" s="847"/>
      <c r="P26" s="917"/>
      <c r="Q26" s="917"/>
      <c r="R26" s="917"/>
      <c r="S26" s="917"/>
      <c r="AC26" s="873">
        <v>10</v>
      </c>
    </row>
    <row customHeight="1" ht="14.699999999999998">
      <c r="AC27" s="775">
        <v>14</v>
      </c>
    </row>
    <row customHeight="1" ht="14.699999999999998">
      <c r="AC28" s="775">
        <v>14</v>
      </c>
    </row>
    <row customHeight="1" ht="14.699999999999998">
      <c r="AC29" s="775">
        <v>14</v>
      </c>
    </row>
    <row customHeight="1" ht="14.699999999999998">
      <c r="H30" s="754"/>
      <c r="AC30" s="775">
        <v>14</v>
      </c>
    </row>
    <row customHeight="1" ht="14.699999999999998">
      <c r="AC31" s="775">
        <v>14</v>
      </c>
    </row>
    <row customHeight="1" ht="14.699999999999998">
      <c r="AC32" s="775">
        <v>14</v>
      </c>
    </row>
    <row customHeight="1" ht="14.699999999999998">
      <c r="AC33" s="775">
        <v>14</v>
      </c>
    </row>
    <row customHeight="1" ht="14.699999999999998">
      <c r="J34" s="775"/>
      <c r="K34" s="775"/>
      <c r="L34" s="775"/>
      <c r="AC34" s="775">
        <v>14</v>
      </c>
    </row>
    <row customHeight="1" ht="22.5" hidden="1">
      <c r="A35" s="1450" t="s">
        <v>83</v>
      </c>
      <c r="B35" s="1109">
        <v>0</v>
      </c>
      <c r="C35" s="1450">
        <v>3</v>
      </c>
      <c r="D35" s="857">
        <v>3</v>
      </c>
      <c r="E35" s="775">
        <v>6</v>
      </c>
      <c r="F35" s="1450">
        <v>0</v>
      </c>
      <c r="G35" s="775">
        <v>46</v>
      </c>
      <c r="H35" s="775">
        <v>42</v>
      </c>
      <c r="I35" s="775">
        <v>14</v>
      </c>
      <c r="J35" s="847">
        <v>3</v>
      </c>
      <c r="K35" s="847">
        <v>0</v>
      </c>
      <c r="L35" s="847">
        <v>0</v>
      </c>
      <c r="M35" s="847">
        <v>0</v>
      </c>
      <c r="N35" s="918">
        <v>0</v>
      </c>
      <c r="O35" s="847">
        <v>0</v>
      </c>
      <c r="P35" s="917">
        <v>0</v>
      </c>
      <c r="Q35" s="917">
        <v>0</v>
      </c>
      <c r="R35" s="917">
        <v>0</v>
      </c>
      <c r="S35" s="917">
        <v>0</v>
      </c>
      <c r="T35" s="775">
        <v>0</v>
      </c>
      <c r="U35" s="775">
        <v>0</v>
      </c>
      <c r="V35" s="775">
        <v>0</v>
      </c>
      <c r="W35" s="775">
        <v>0</v>
      </c>
      <c r="X35" s="775">
        <v>0</v>
      </c>
      <c r="Y35" s="775">
        <v>0</v>
      </c>
      <c r="Z35" s="775">
        <v>0</v>
      </c>
      <c r="AA35" s="775">
        <v>0</v>
      </c>
      <c r="AB35" s="775">
        <v>8</v>
      </c>
      <c r="AC35" s="775">
        <v>23</v>
      </c>
    </row>
  </sheetData>
  <sheetProtection sheet="1" formatColumns="0" formatRows="0" autoFilter="0" sort="1" insertRows="1" insertColumns="1" deleteRows="1" deleteColumns="1"/>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60FD9E-B5E5-9B6B-54D6-1FF1F58CCB56}"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4.140625" hidden="1" customWidth="1"/>
    <col min="10" max="10" style="62148" width="9.8515625" hidden="1" customWidth="1"/>
    <col min="11" max="11" style="62148" width="14.7109375" hidden="1" customWidth="1"/>
    <col min="12" max="12" style="63164" width="19.140625" hidden="1" customWidth="1"/>
    <col min="13" max="14" style="61371" width="12.28125" hidden="1" customWidth="1"/>
    <col min="15" max="15" style="61371" width="23.421875" hidden="1" customWidth="1"/>
    <col min="16" max="16" style="63184" width="3.00390625" customWidth="1"/>
    <col min="17" max="18" style="62288" width="3.00390625" customWidth="1"/>
    <col min="19" max="19" style="63156" width="12.00390625" customWidth="1"/>
    <col min="20" max="20" style="62286" width="35.00390625" customWidth="1"/>
    <col min="21" max="21" style="62286" width="0.140625" customWidth="1"/>
    <col min="22" max="28" style="62286" width="19.7109375" hidden="1" customWidth="1"/>
    <col min="29" max="29" style="62286" width="11.7109375" hidden="1" customWidth="1"/>
    <col min="30" max="30" style="62286" width="3.7109375" hidden="1" customWidth="1"/>
    <col min="31" max="31" style="62286" width="11.7109375" hidden="1" customWidth="1"/>
    <col min="32" max="32" style="62286" width="8.57421875" hidden="1" customWidth="1"/>
    <col min="33" max="33" style="62286" width="19.7109375" customWidth="1"/>
    <col min="34" max="39" style="62286" width="19.00390625" customWidth="1"/>
    <col min="40" max="40" style="62286" width="11.00390625" customWidth="1"/>
    <col min="41" max="41" style="62286" width="3.7109375" customWidth="1"/>
    <col min="42" max="42" style="62286" width="11.00390625" customWidth="1"/>
    <col min="43" max="43" style="62286" width="8.57421875" hidden="1" customWidth="1"/>
    <col min="44" max="44" style="62286" width="4.00390625" customWidth="1"/>
    <col min="45" max="45" style="62286" width="115.00390625" customWidth="1"/>
    <col min="46" max="50" style="61695" width="10.00390625" customWidth="1"/>
    <col min="51" max="51" style="62286" width="10.57421875" hidden="1"/>
  </cols>
  <sheetData>
    <row customHeight="1" ht="22.5" hidden="1">
      <c r="AC1" s="1019"/>
      <c r="AN1" s="1019"/>
      <c r="AY1" s="1847" t="s">
        <v>14</v>
      </c>
    </row>
    <row customHeight="1" ht="23.25" hidden="1">
      <c r="A2" s="2055"/>
      <c r="B2" s="2055"/>
      <c r="C2" s="2055"/>
      <c r="D2" s="2055"/>
      <c r="E2" s="2950">
        <v>1</v>
      </c>
      <c r="F2" s="2055"/>
      <c r="G2" s="2055"/>
      <c r="H2" s="2055"/>
      <c r="I2" s="2055"/>
      <c r="J2" s="2055"/>
      <c r="K2" s="2055"/>
      <c r="L2" s="2056"/>
      <c r="M2" s="2057"/>
      <c r="N2" s="2057"/>
      <c r="O2" s="2057"/>
      <c r="P2" s="1053"/>
      <c r="Q2" s="1052"/>
      <c r="R2" s="1047"/>
      <c r="S2" s="2185">
        <f>INDEX(PT_DIFFERENTIATION_NUM_NTAR,MATCH(A2,PT_DIFFERENTIATION_NTAR_ID,0))</f>
      </c>
      <c r="T2" s="990" t="s">
        <v>131</v>
      </c>
      <c r="U2" s="992"/>
      <c r="V2" s="2934"/>
      <c r="W2" s="2935"/>
      <c r="X2" s="2935"/>
      <c r="Y2" s="2935"/>
      <c r="Z2" s="2935"/>
      <c r="AA2" s="2935"/>
      <c r="AB2" s="2935"/>
      <c r="AC2" s="2935"/>
      <c r="AD2" s="2935"/>
      <c r="AE2" s="2935"/>
      <c r="AF2" s="2936"/>
      <c r="AG2" s="2934">
        <f>INDEX(PT_DIFFERENTIATION_NTAR,MATCH(A2,PT_DIFFERENTIATION_NTAR_ID,0))</f>
      </c>
      <c r="AH2" s="2935"/>
      <c r="AI2" s="2935"/>
      <c r="AJ2" s="2935"/>
      <c r="AK2" s="2935"/>
      <c r="AL2" s="2935"/>
      <c r="AM2" s="2935"/>
      <c r="AN2" s="2935"/>
      <c r="AO2" s="2935"/>
      <c r="AP2" s="2935"/>
      <c r="AQ2" s="2935"/>
      <c r="AR2" s="2936"/>
      <c r="AS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192"/>
      <c r="AV2" s="1192" t="str">
        <f>IF(T2="","",T2)</f>
        <v>Наименование тарифа</v>
      </c>
      <c r="AW2" s="1192"/>
      <c r="AX2" s="1192"/>
      <c r="AY2" s="1847">
        <v>0</v>
      </c>
    </row>
    <row customHeight="1" ht="23.25" hidden="1">
      <c r="A3" s="2055"/>
      <c r="B3" s="2055"/>
      <c r="C3" s="2055"/>
      <c r="D3" s="2055"/>
      <c r="E3" s="2951"/>
      <c r="F3" s="2950">
        <v>1</v>
      </c>
      <c r="G3" s="2055"/>
      <c r="H3" s="2055"/>
      <c r="I3" s="2055"/>
      <c r="J3" s="2055"/>
      <c r="K3" s="2055"/>
      <c r="L3" s="2056"/>
      <c r="M3" s="2057"/>
      <c r="N3" s="2057"/>
      <c r="O3" s="2057"/>
      <c r="P3" s="2179"/>
      <c r="Q3" s="1044"/>
      <c r="R3" s="1045"/>
      <c r="S3" s="2185">
        <f>INDEX(PT_DIFFERENTIATION_NUM_TER,MATCH(B3,PT_DIFFERENTIATION_TER_ID,0))</f>
      </c>
      <c r="T3" s="1000" t="s">
        <v>472</v>
      </c>
      <c r="U3" s="992"/>
      <c r="V3" s="2934"/>
      <c r="W3" s="2935"/>
      <c r="X3" s="2935"/>
      <c r="Y3" s="2935"/>
      <c r="Z3" s="2935"/>
      <c r="AA3" s="2935"/>
      <c r="AB3" s="2935"/>
      <c r="AC3" s="2935"/>
      <c r="AD3" s="2935"/>
      <c r="AE3" s="2935"/>
      <c r="AF3" s="2936"/>
      <c r="AG3" s="2934">
        <f>INDEX(PT_DIFFERENTIATION_TER,MATCH(B3,PT_DIFFERENTIATION_TER_ID,0))</f>
      </c>
      <c r="AH3" s="2935"/>
      <c r="AI3" s="2935"/>
      <c r="AJ3" s="2935"/>
      <c r="AK3" s="2935"/>
      <c r="AL3" s="2935"/>
      <c r="AM3" s="2935"/>
      <c r="AN3" s="2935"/>
      <c r="AO3" s="2935"/>
      <c r="AP3" s="2935"/>
      <c r="AQ3" s="2935"/>
      <c r="AR3" s="2936"/>
      <c r="AS3" s="1950" t="s">
        <v>473</v>
      </c>
      <c r="AU3" s="1192"/>
      <c r="AV3" s="1192" t="str">
        <f>IF(T3="","",T3)</f>
        <v>Территория действия тарифа</v>
      </c>
      <c r="AW3" s="1192"/>
      <c r="AX3" s="1192"/>
      <c r="AY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185">
        <f>INDEX(PT_DIFFERENTIATION_NUM_CS,MATCH(C4,PT_DIFFERENTIATION_CS_ID,0))</f>
      </c>
      <c r="T4" s="1001" t="s">
        <v>604</v>
      </c>
      <c r="U4" s="992"/>
      <c r="V4" s="2934"/>
      <c r="W4" s="2935"/>
      <c r="X4" s="2935"/>
      <c r="Y4" s="2935"/>
      <c r="Z4" s="2935"/>
      <c r="AA4" s="2935"/>
      <c r="AB4" s="2935"/>
      <c r="AC4" s="2935"/>
      <c r="AD4" s="2935"/>
      <c r="AE4" s="2935"/>
      <c r="AF4" s="2936"/>
      <c r="AG4" s="2934">
        <f>INDEX(PT_DIFFERENTIATION_CS,MATCH(C4,PT_DIFFERENTIATION_CS_ID,0))</f>
      </c>
      <c r="AH4" s="2935"/>
      <c r="AI4" s="2935"/>
      <c r="AJ4" s="2935"/>
      <c r="AK4" s="2935"/>
      <c r="AL4" s="2935"/>
      <c r="AM4" s="2935"/>
      <c r="AN4" s="2935"/>
      <c r="AO4" s="2935"/>
      <c r="AP4" s="2935"/>
      <c r="AQ4" s="2935"/>
      <c r="AR4" s="2936"/>
      <c r="AS4" s="1950" t="s">
        <v>605</v>
      </c>
      <c r="AU4" s="1192"/>
      <c r="AV4" s="1192" t="str">
        <f>IF(T4="","",T4)</f>
        <v>Наименование централизованной системы горячего водоснабжения</v>
      </c>
      <c r="AW4" s="1192"/>
      <c r="AX4" s="1192"/>
      <c r="AY4" s="1847">
        <v>0</v>
      </c>
    </row>
    <row customHeight="1" ht="23.25" hidden="1">
      <c r="A5" s="2055"/>
      <c r="B5" s="2055"/>
      <c r="C5" s="2055"/>
      <c r="D5" s="2055"/>
      <c r="E5" s="2951"/>
      <c r="F5" s="2951"/>
      <c r="G5" s="2951"/>
      <c r="H5" s="2951"/>
      <c r="I5" s="2948">
        <f>S4&amp;".1"</f>
      </c>
      <c r="J5" s="2055"/>
      <c r="K5" s="2055"/>
      <c r="L5" s="2056"/>
      <c r="P5" s="2949">
        <v>1</v>
      </c>
      <c r="Q5" s="2173"/>
      <c r="R5" s="1048"/>
      <c r="S5" s="2185">
        <f>$I5</f>
      </c>
      <c r="T5" s="977" t="s">
        <v>557</v>
      </c>
      <c r="U5" s="992"/>
      <c r="V5" s="3042"/>
      <c r="W5" s="3043"/>
      <c r="X5" s="3043"/>
      <c r="Y5" s="3043"/>
      <c r="Z5" s="3043"/>
      <c r="AA5" s="3043"/>
      <c r="AB5" s="3043"/>
      <c r="AC5" s="3043"/>
      <c r="AD5" s="3043"/>
      <c r="AE5" s="3043"/>
      <c r="AF5" s="3044"/>
      <c r="AG5" s="3045"/>
      <c r="AH5" s="3046"/>
      <c r="AI5" s="3046"/>
      <c r="AJ5" s="3046"/>
      <c r="AK5" s="3046"/>
      <c r="AL5" s="3046"/>
      <c r="AM5" s="3046"/>
      <c r="AN5" s="3046"/>
      <c r="AO5" s="3046"/>
      <c r="AP5" s="3046"/>
      <c r="AQ5" s="3046"/>
      <c r="AR5" s="3047"/>
      <c r="AS5" s="1950" t="s">
        <v>558</v>
      </c>
      <c r="AU5" s="1192"/>
      <c r="AV5" s="1192" t="str">
        <f>IF(T5="","",T5)</f>
        <v>Наименование признака дифференциации</v>
      </c>
      <c r="AW5" s="1192"/>
      <c r="AX5" s="1192"/>
      <c r="AY5" s="1847">
        <v>0</v>
      </c>
    </row>
    <row customHeight="1" ht="23.25" hidden="1">
      <c r="A6" s="2055"/>
      <c r="B6" s="2055"/>
      <c r="C6" s="2055"/>
      <c r="D6" s="2055"/>
      <c r="E6" s="2951"/>
      <c r="F6" s="2951"/>
      <c r="G6" s="2951"/>
      <c r="H6" s="2951"/>
      <c r="I6" s="2978"/>
      <c r="J6" s="2948">
        <f>I5&amp;".1"</f>
      </c>
      <c r="K6" s="2055"/>
      <c r="L6" s="2056" t="s">
        <v>481</v>
      </c>
      <c r="P6" s="2949"/>
      <c r="Q6" s="2949">
        <v>1</v>
      </c>
      <c r="R6" s="1049"/>
      <c r="S6" s="2185">
        <f>$J6</f>
      </c>
      <c r="T6" s="978" t="s">
        <v>482</v>
      </c>
      <c r="U6" s="992"/>
      <c r="V6" s="2937"/>
      <c r="W6" s="2938"/>
      <c r="X6" s="2938"/>
      <c r="Y6" s="2938"/>
      <c r="Z6" s="2938"/>
      <c r="AA6" s="2938"/>
      <c r="AB6" s="2938"/>
      <c r="AC6" s="2938"/>
      <c r="AD6" s="2938"/>
      <c r="AE6" s="2938"/>
      <c r="AF6" s="2939"/>
      <c r="AG6" s="2937"/>
      <c r="AH6" s="2938"/>
      <c r="AI6" s="2938"/>
      <c r="AJ6" s="2938"/>
      <c r="AK6" s="2938"/>
      <c r="AL6" s="2938"/>
      <c r="AM6" s="2938"/>
      <c r="AN6" s="2938"/>
      <c r="AO6" s="2938"/>
      <c r="AP6" s="2938"/>
      <c r="AQ6" s="2938"/>
      <c r="AR6" s="2939"/>
      <c r="AS6" s="1999" t="s">
        <v>559</v>
      </c>
      <c r="AU6" s="1192"/>
      <c r="AV6" s="1192" t="str">
        <f>IF(T6="","",T6)</f>
        <v>Группа потребителей</v>
      </c>
      <c r="AW6" s="1192"/>
      <c r="AX6" s="1192"/>
      <c r="AY6" s="1847">
        <v>0</v>
      </c>
    </row>
    <row customHeight="1" ht="23.25" hidden="1">
      <c r="A7" s="2055"/>
      <c r="B7" s="2055"/>
      <c r="C7" s="2055"/>
      <c r="D7" s="2055"/>
      <c r="E7" s="2951"/>
      <c r="F7" s="2951"/>
      <c r="G7" s="2951"/>
      <c r="H7" s="2951"/>
      <c r="I7" s="2978"/>
      <c r="J7" s="2978"/>
      <c r="K7" s="2948">
        <f>J6&amp;".1"</f>
      </c>
      <c r="L7" s="2056"/>
      <c r="P7" s="2949"/>
      <c r="Q7" s="2949"/>
      <c r="R7" s="1049">
        <v>1</v>
      </c>
      <c r="S7" s="2185">
        <f>$K7</f>
      </c>
      <c r="T7" s="2129"/>
      <c r="U7" s="992"/>
      <c r="V7" s="1443"/>
      <c r="W7" s="1443"/>
      <c r="X7" s="1443"/>
      <c r="Y7" s="1443"/>
      <c r="Z7" s="1443"/>
      <c r="AA7" s="1443"/>
      <c r="AB7" s="1443"/>
      <c r="AC7" s="2957"/>
      <c r="AD7" s="2799" t="s">
        <v>67</v>
      </c>
      <c r="AE7" s="2957"/>
      <c r="AF7" s="2799" t="s">
        <v>67</v>
      </c>
      <c r="AG7" s="1443"/>
      <c r="AH7" s="1443"/>
      <c r="AI7" s="1443"/>
      <c r="AJ7" s="1443"/>
      <c r="AK7" s="1443"/>
      <c r="AL7" s="1443"/>
      <c r="AM7" s="1443"/>
      <c r="AN7" s="2957"/>
      <c r="AO7" s="2799" t="s">
        <v>67</v>
      </c>
      <c r="AP7" s="2979"/>
      <c r="AQ7" s="2799" t="s">
        <v>67</v>
      </c>
      <c r="AR7" s="2130"/>
      <c r="AS7"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203">
        <f>STRCHECKDATE(V8:AR8)</f>
      </c>
      <c r="AU7" s="1192"/>
      <c r="AV7" s="1192" t="str">
        <f>IF(T7="","",T7)</f>
        <v/>
      </c>
      <c r="AW7" s="1192"/>
      <c r="AX7" s="1192"/>
      <c r="AY7" s="1847">
        <v>0</v>
      </c>
    </row>
    <row customHeight="1" ht="14.25" hidden="1">
      <c r="A8" s="2055"/>
      <c r="B8" s="2055"/>
      <c r="C8" s="2055"/>
      <c r="D8" s="2055"/>
      <c r="E8" s="2951"/>
      <c r="F8" s="2951"/>
      <c r="G8" s="2951"/>
      <c r="H8" s="2951"/>
      <c r="I8" s="2978"/>
      <c r="J8" s="2978"/>
      <c r="K8" s="2948"/>
      <c r="L8" s="2056"/>
      <c r="P8" s="2949"/>
      <c r="Q8" s="2949"/>
      <c r="R8" s="1049"/>
      <c r="S8" s="2182"/>
      <c r="T8" s="992"/>
      <c r="U8" s="992"/>
      <c r="V8" s="1017"/>
      <c r="W8" s="1017"/>
      <c r="X8" s="1017"/>
      <c r="Y8" s="1017"/>
      <c r="Z8" s="1017"/>
      <c r="AA8" s="1017"/>
      <c r="AB8" s="1017"/>
      <c r="AC8" s="2958"/>
      <c r="AD8" s="2799"/>
      <c r="AE8" s="2958"/>
      <c r="AF8" s="2799"/>
      <c r="AG8" s="1017"/>
      <c r="AH8" s="1017"/>
      <c r="AI8" s="1017"/>
      <c r="AJ8" s="1017"/>
      <c r="AK8" s="1017"/>
      <c r="AL8" s="1017"/>
      <c r="AM8" s="1017"/>
      <c r="AN8" s="2958"/>
      <c r="AO8" s="2799"/>
      <c r="AP8" s="2980"/>
      <c r="AQ8" s="2799"/>
      <c r="AR8" s="2131"/>
      <c r="AS8" s="3041"/>
      <c r="AU8" s="1192"/>
      <c r="AV8" s="1192" t="str">
        <f>IF(T8="","",T8)</f>
        <v/>
      </c>
      <c r="AW8" s="1192"/>
      <c r="AX8" s="1192"/>
      <c r="AY8" s="1847">
        <v>0</v>
      </c>
    </row>
    <row customHeight="1" ht="21" hidden="1">
      <c r="A9" s="2055"/>
      <c r="B9" s="2055"/>
      <c r="C9" s="2055"/>
      <c r="D9" s="2055"/>
      <c r="E9" s="2951"/>
      <c r="F9" s="2951"/>
      <c r="G9" s="2951"/>
      <c r="H9" s="2951"/>
      <c r="I9" s="2978"/>
      <c r="J9" s="2948"/>
      <c r="K9" s="2055"/>
      <c r="L9" s="2056"/>
      <c r="P9" s="2949"/>
      <c r="Q9" s="2949"/>
      <c r="R9" s="1048"/>
      <c r="S9" s="1970"/>
      <c r="T9" s="979" t="s">
        <v>560</v>
      </c>
      <c r="U9" s="1059"/>
      <c r="V9" s="1059"/>
      <c r="W9" s="1292"/>
      <c r="X9" s="1292"/>
      <c r="Y9" s="1292"/>
      <c r="Z9" s="1292"/>
      <c r="AA9" s="1292"/>
      <c r="AB9" s="1292"/>
      <c r="AC9" s="1059"/>
      <c r="AD9" s="1059"/>
      <c r="AE9" s="1059"/>
      <c r="AF9" s="1059"/>
      <c r="AG9" s="1059"/>
      <c r="AH9" s="1292"/>
      <c r="AI9" s="1292"/>
      <c r="AJ9" s="1292"/>
      <c r="AK9" s="1292"/>
      <c r="AL9" s="1292"/>
      <c r="AM9" s="1059"/>
      <c r="AN9" s="1059"/>
      <c r="AO9" s="1059"/>
      <c r="AP9" s="1059"/>
      <c r="AQ9" s="1059"/>
      <c r="AR9" s="1059"/>
      <c r="AS9" s="1950" t="s">
        <v>561</v>
      </c>
      <c r="AU9" s="1192"/>
      <c r="AV9" s="1192" t="str">
        <f>IF(T9="","",T9)</f>
        <v>Добавить значение признака дифференциации</v>
      </c>
      <c r="AW9" s="1192"/>
      <c r="AX9" s="1192"/>
      <c r="AY9" s="1847">
        <v>0</v>
      </c>
    </row>
    <row customHeight="1" ht="21" hidden="1">
      <c r="A10" s="2055"/>
      <c r="B10" s="2055"/>
      <c r="C10" s="2055"/>
      <c r="D10" s="2055"/>
      <c r="E10" s="2951"/>
      <c r="F10" s="2951"/>
      <c r="G10" s="2951"/>
      <c r="H10" s="2951"/>
      <c r="I10" s="2948"/>
      <c r="J10" s="2055"/>
      <c r="K10" s="2055"/>
      <c r="L10" s="2056"/>
      <c r="P10" s="2949"/>
      <c r="Q10" s="2173"/>
      <c r="R10" s="1048"/>
      <c r="S10" s="1970"/>
      <c r="T10" s="1057" t="s">
        <v>487</v>
      </c>
      <c r="U10" s="1059"/>
      <c r="V10" s="1059"/>
      <c r="W10" s="1292"/>
      <c r="X10" s="1292"/>
      <c r="Y10" s="1292"/>
      <c r="Z10" s="1292"/>
      <c r="AA10" s="1292"/>
      <c r="AB10" s="1292"/>
      <c r="AC10" s="1059"/>
      <c r="AD10" s="1059"/>
      <c r="AE10" s="1059"/>
      <c r="AF10" s="1058"/>
      <c r="AG10" s="1059"/>
      <c r="AH10" s="1292"/>
      <c r="AI10" s="1292"/>
      <c r="AJ10" s="1292"/>
      <c r="AK10" s="1292"/>
      <c r="AL10" s="1292"/>
      <c r="AM10" s="1059"/>
      <c r="AN10" s="1059"/>
      <c r="AO10" s="1059"/>
      <c r="AP10" s="1059"/>
      <c r="AQ10" s="1058"/>
      <c r="AR10" s="1059"/>
      <c r="AS10" s="2132"/>
      <c r="AU10" s="1192"/>
      <c r="AV10" s="1192" t="str">
        <f>IF(T10="","",T10)</f>
        <v>Добавить группу потребителей</v>
      </c>
      <c r="AW10" s="1192"/>
      <c r="AX10" s="1192"/>
      <c r="AY10" s="1847">
        <v>0</v>
      </c>
    </row>
    <row customHeight="1" ht="21" hidden="1">
      <c r="A11" s="2055"/>
      <c r="B11" s="2055"/>
      <c r="C11" s="2055"/>
      <c r="D11" s="2055"/>
      <c r="E11" s="2951"/>
      <c r="F11" s="2951"/>
      <c r="G11" s="2951"/>
      <c r="H11" s="2950"/>
      <c r="I11" s="2055"/>
      <c r="J11" s="2055"/>
      <c r="K11" s="2055"/>
      <c r="L11" s="2056"/>
      <c r="M11" s="2057"/>
      <c r="N11" s="2057"/>
      <c r="O11" s="1229"/>
      <c r="P11" s="1052"/>
      <c r="Q11" s="1067"/>
      <c r="R11" s="1047"/>
      <c r="S11" s="1970"/>
      <c r="T11" s="1064" t="s">
        <v>562</v>
      </c>
      <c r="U11" s="1059"/>
      <c r="V11" s="1059"/>
      <c r="W11" s="1292"/>
      <c r="X11" s="1292"/>
      <c r="Y11" s="1292"/>
      <c r="Z11" s="1292"/>
      <c r="AA11" s="1292"/>
      <c r="AB11" s="1292"/>
      <c r="AC11" s="1059"/>
      <c r="AD11" s="1059"/>
      <c r="AE11" s="1059"/>
      <c r="AF11" s="1058"/>
      <c r="AG11" s="1059"/>
      <c r="AH11" s="1292"/>
      <c r="AI11" s="1292"/>
      <c r="AJ11" s="1292"/>
      <c r="AK11" s="1292"/>
      <c r="AL11" s="1292"/>
      <c r="AM11" s="1059"/>
      <c r="AN11" s="1059"/>
      <c r="AO11" s="1059"/>
      <c r="AP11" s="1059"/>
      <c r="AQ11" s="1058"/>
      <c r="AR11" s="1059"/>
      <c r="AS11" s="995"/>
      <c r="AU11" s="1192"/>
      <c r="AV11" s="1192" t="str">
        <f>IF(T11="","",T11)</f>
        <v>Добавить наименование признака дифференциации</v>
      </c>
      <c r="AW11" s="1192"/>
      <c r="AX11" s="1192"/>
      <c r="AY11" s="1847">
        <v>0</v>
      </c>
    </row>
    <row s="61695" customFormat="1" customHeight="1" ht="14.25" hidden="1">
      <c r="A12" s="2035"/>
      <c r="B12" s="2035"/>
      <c r="C12" s="2006"/>
      <c r="D12" s="2006"/>
      <c r="E12" s="2951"/>
      <c r="F12" s="2950"/>
      <c r="G12" s="2006"/>
      <c r="H12" s="2006"/>
      <c r="I12" s="2006"/>
      <c r="J12" s="2006"/>
      <c r="K12" s="2006"/>
      <c r="L12" s="2186"/>
      <c r="M12" s="2013"/>
      <c r="N12" s="2013"/>
      <c r="P12" s="2008"/>
      <c r="Q12" s="2009"/>
      <c r="R12" s="2008"/>
      <c r="S12" s="2014"/>
      <c r="T12" s="2017" t="s">
        <v>172</v>
      </c>
      <c r="U12" s="2016"/>
      <c r="V12" s="2016"/>
      <c r="W12" s="2016"/>
      <c r="X12" s="2016"/>
      <c r="Y12" s="2016"/>
      <c r="Z12" s="2016"/>
      <c r="AA12" s="2016"/>
      <c r="AB12" s="2016"/>
      <c r="AC12" s="2016"/>
      <c r="AD12" s="2016"/>
      <c r="AE12" s="2016"/>
      <c r="AF12" s="2016"/>
      <c r="AG12" s="2016"/>
      <c r="AH12" s="2016"/>
      <c r="AI12" s="2016"/>
      <c r="AJ12" s="2016"/>
      <c r="AK12" s="2016"/>
      <c r="AL12" s="2016"/>
      <c r="AM12" s="2016"/>
      <c r="AN12" s="2016"/>
      <c r="AO12" s="2016"/>
      <c r="AP12" s="2016"/>
      <c r="AQ12" s="2016"/>
      <c r="AR12" s="2016"/>
      <c r="AS12" s="2016"/>
      <c r="AU12" s="1481"/>
      <c r="AV12" s="1481" t="str">
        <f>IF(T12="","",T12)</f>
        <v>Добавить централизованную систему для дифференциации</v>
      </c>
      <c r="AW12" s="1481"/>
      <c r="AX12" s="1481"/>
      <c r="AY12" s="1210">
        <v>0</v>
      </c>
    </row>
    <row s="61695" customFormat="1" customHeight="1" ht="14.25" hidden="1">
      <c r="A13" s="2035"/>
      <c r="B13" s="2035"/>
      <c r="C13" s="2035"/>
      <c r="D13" s="2035"/>
      <c r="E13" s="2950"/>
      <c r="F13" s="2035"/>
      <c r="G13" s="2035"/>
      <c r="H13" s="2035"/>
      <c r="I13" s="2035"/>
      <c r="J13" s="2035"/>
      <c r="K13" s="2035"/>
      <c r="L13" s="2038"/>
      <c r="M13" s="2013"/>
      <c r="N13" s="2013"/>
      <c r="O13" s="1210"/>
      <c r="P13" s="1072"/>
      <c r="Q13" s="2036"/>
      <c r="R13" s="1072"/>
      <c r="S13" s="2014"/>
      <c r="T13" s="2017" t="s">
        <v>173</v>
      </c>
      <c r="U13" s="2016"/>
      <c r="V13" s="2016"/>
      <c r="W13" s="2016"/>
      <c r="X13" s="2016"/>
      <c r="Y13" s="2016"/>
      <c r="Z13" s="2016"/>
      <c r="AA13" s="2016"/>
      <c r="AB13" s="2016"/>
      <c r="AC13" s="2016"/>
      <c r="AD13" s="2016"/>
      <c r="AE13" s="2016"/>
      <c r="AF13" s="2016"/>
      <c r="AG13" s="2016"/>
      <c r="AH13" s="2016"/>
      <c r="AI13" s="2016"/>
      <c r="AJ13" s="2016"/>
      <c r="AK13" s="2016"/>
      <c r="AL13" s="2016"/>
      <c r="AM13" s="2016"/>
      <c r="AN13" s="2016"/>
      <c r="AO13" s="2016"/>
      <c r="AP13" s="2016"/>
      <c r="AQ13" s="2016"/>
      <c r="AR13" s="2016"/>
      <c r="AS13" s="2016"/>
      <c r="AU13" s="1192"/>
      <c r="AV13" s="1192" t="str">
        <f>IF(T13="","",T13)</f>
        <v>Добавить территорию для дифференциации</v>
      </c>
      <c r="AW13" s="1192"/>
      <c r="AX13" s="1192"/>
      <c r="AY13" s="1203">
        <v>0</v>
      </c>
    </row>
    <row customHeight="1" ht="14.25" hidden="1">
      <c r="AF14" s="1019"/>
      <c r="AQ14" s="1019"/>
      <c r="AY14" s="1847">
        <v>0</v>
      </c>
    </row>
    <row customHeight="1" ht="14.25" hidden="1">
      <c r="AG15" s="2052"/>
      <c r="AH15" s="2052"/>
      <c r="AI15" s="2052"/>
      <c r="AJ15" s="2052"/>
      <c r="AK15" s="2052"/>
      <c r="AL15" s="2052"/>
      <c r="AM15" s="2052"/>
      <c r="AN15" s="2959"/>
      <c r="AO15" s="2960" t="s">
        <v>67</v>
      </c>
      <c r="AP15" s="2959"/>
      <c r="AQ15" s="2960" t="s">
        <v>67</v>
      </c>
      <c r="AY15" s="1847">
        <v>0</v>
      </c>
    </row>
    <row customHeight="1" ht="14.25" hidden="1">
      <c r="AG16" s="2052"/>
      <c r="AH16" s="2052"/>
      <c r="AI16" s="2052"/>
      <c r="AJ16" s="2052"/>
      <c r="AK16" s="2052"/>
      <c r="AL16" s="2052"/>
      <c r="AM16" s="2052"/>
      <c r="AN16" s="2960"/>
      <c r="AO16" s="2960"/>
      <c r="AP16" s="2960"/>
      <c r="AQ16" s="2960"/>
      <c r="AY16" s="1847">
        <v>0</v>
      </c>
    </row>
    <row customHeight="1" ht="14.25" hidden="1">
      <c r="AQ17" s="1019"/>
      <c r="AY17" s="1847">
        <v>0</v>
      </c>
    </row>
    <row s="62148" customFormat="1" customHeight="1" ht="22.5" hidden="1">
      <c r="L18" s="2170"/>
      <c r="M18" s="2054"/>
      <c r="N18" s="2054"/>
      <c r="O18" s="2059" t="s">
        <v>489</v>
      </c>
      <c r="P18" s="2054"/>
      <c r="Q18" s="2063"/>
      <c r="R18" s="2063"/>
      <c r="S18" s="1421"/>
      <c r="W18" s="2058"/>
      <c r="X18" s="2058"/>
      <c r="Y18" s="2058"/>
      <c r="Z18" s="2058"/>
      <c r="AA18" s="2058"/>
      <c r="AB18" s="2058"/>
      <c r="AC18" s="2059"/>
      <c r="AE18" s="2059"/>
      <c r="AF18" s="2058"/>
      <c r="AH18" s="2058"/>
      <c r="AI18" s="2058"/>
      <c r="AJ18" s="2058"/>
      <c r="AK18" s="2058"/>
      <c r="AL18" s="2058"/>
      <c r="AN18" s="2059"/>
      <c r="AP18" s="2059"/>
      <c r="AQ18" s="2058"/>
      <c r="AT18" s="1203"/>
      <c r="AU18" s="1203"/>
      <c r="AV18" s="1203"/>
      <c r="AW18" s="1203"/>
      <c r="AX18" s="1203"/>
      <c r="AY18" s="1852">
        <v>0</v>
      </c>
    </row>
    <row s="62148" customFormat="1" customHeight="1" ht="14.25" hidden="1">
      <c r="L19" s="2170"/>
      <c r="M19" s="2054"/>
      <c r="N19" s="2054"/>
      <c r="O19" s="2054"/>
      <c r="P19" s="2054"/>
      <c r="Q19" s="2063"/>
      <c r="R19" s="2063"/>
      <c r="S19" s="1421"/>
      <c r="W19" s="2058"/>
      <c r="X19" s="2058"/>
      <c r="Y19" s="2058"/>
      <c r="Z19" s="2058"/>
      <c r="AA19" s="2058"/>
      <c r="AB19" s="2058"/>
      <c r="AF19" s="2058"/>
      <c r="AH19" s="2058"/>
      <c r="AI19" s="2058"/>
      <c r="AJ19" s="2058"/>
      <c r="AK19" s="2058"/>
      <c r="AL19" s="2058"/>
      <c r="AQ19" s="2058"/>
      <c r="AT19" s="1203"/>
      <c r="AU19" s="1203"/>
      <c r="AV19" s="1203"/>
      <c r="AW19" s="1203"/>
      <c r="AX19" s="1203"/>
      <c r="AY19" s="1852">
        <v>0</v>
      </c>
    </row>
    <row s="62148" customFormat="1" customHeight="1" ht="12" hidden="1">
      <c r="L20" s="2170"/>
      <c r="M20" s="2054"/>
      <c r="N20" s="2054"/>
      <c r="O20" s="2056" t="s">
        <v>490</v>
      </c>
      <c r="P20" s="2054"/>
      <c r="Q20" s="2134"/>
      <c r="R20" s="2134"/>
      <c r="S20" s="1421"/>
      <c r="T20" s="1852" t="s">
        <v>491</v>
      </c>
      <c r="W20" s="2058"/>
      <c r="X20" s="2058"/>
      <c r="Y20" s="2058"/>
      <c r="Z20" s="2058"/>
      <c r="AA20" s="2058"/>
      <c r="AB20" s="2058"/>
      <c r="AD20" s="878" t="s">
        <v>492</v>
      </c>
      <c r="AF20" s="878" t="s">
        <v>493</v>
      </c>
      <c r="AG20" s="1852" t="s">
        <v>491</v>
      </c>
      <c r="AH20" s="2058"/>
      <c r="AI20" s="2058"/>
      <c r="AJ20" s="2058"/>
      <c r="AK20" s="2058"/>
      <c r="AL20" s="2058"/>
      <c r="AO20" s="878" t="s">
        <v>494</v>
      </c>
      <c r="AQ20" s="878" t="s">
        <v>493</v>
      </c>
      <c r="AY20" s="1852">
        <v>0</v>
      </c>
    </row>
    <row customHeight="1" ht="14.25" hidden="1">
      <c r="O21" s="2056"/>
      <c r="AY21" s="1847">
        <v>0</v>
      </c>
    </row>
    <row customHeight="1" ht="14.25" hidden="1">
      <c r="O22" s="2056"/>
      <c r="AY22" s="1847">
        <v>0</v>
      </c>
    </row>
    <row customHeight="1" ht="14.699999999999998">
      <c r="Q23" s="1068"/>
      <c r="R23" s="1068"/>
      <c r="S23" s="1967"/>
      <c r="T23" s="1055"/>
      <c r="U23" s="1055"/>
      <c r="V23" s="1201"/>
      <c r="W23" s="2327"/>
      <c r="X23" s="2327"/>
      <c r="Y23" s="2327"/>
      <c r="Z23" s="2327"/>
      <c r="AA23" s="2327"/>
      <c r="AB23" s="2327"/>
      <c r="AC23" s="1201"/>
      <c r="AD23" s="1201"/>
      <c r="AE23" s="1201"/>
      <c r="AF23" s="1201"/>
      <c r="AG23" s="1201"/>
      <c r="AH23" s="2327"/>
      <c r="AI23" s="2327"/>
      <c r="AJ23" s="2327"/>
      <c r="AK23" s="2327"/>
      <c r="AL23" s="2327"/>
      <c r="AM23" s="1201"/>
      <c r="AN23" s="1201"/>
      <c r="AO23" s="1201"/>
      <c r="AP23" s="1201"/>
      <c r="AQ23" s="1201"/>
      <c r="AY23" s="1847">
        <v>14</v>
      </c>
    </row>
    <row customHeight="1" ht="26.25">
      <c r="Q24" s="1068"/>
      <c r="R24" s="1068"/>
      <c r="S24" s="294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40"/>
      <c r="U24" s="2940"/>
      <c r="V24" s="2940"/>
      <c r="W24" s="2940"/>
      <c r="X24" s="2940"/>
      <c r="Y24" s="2940"/>
      <c r="Z24" s="2940"/>
      <c r="AA24" s="2940"/>
      <c r="AB24" s="2940"/>
      <c r="AC24" s="2940"/>
      <c r="AD24" s="2940"/>
      <c r="AE24" s="2940"/>
      <c r="AF24" s="2940"/>
      <c r="AG24" s="2940"/>
      <c r="AH24" s="2940"/>
      <c r="AI24" s="2940"/>
      <c r="AJ24" s="2940"/>
      <c r="AK24" s="2940"/>
      <c r="AL24" s="2940"/>
      <c r="AM24" s="2940"/>
      <c r="AN24" s="2940"/>
      <c r="AO24" s="2940"/>
      <c r="AP24" s="2940"/>
      <c r="AQ24" s="1935"/>
      <c r="AY24" s="1847">
        <v>25</v>
      </c>
    </row>
    <row customHeight="1" ht="14.699999999999998">
      <c r="Q25" s="1068"/>
      <c r="R25" s="1068"/>
      <c r="S25" s="2941" t="str">
        <f>IF(org=0,"Не определено",org)</f>
        <v>АО "ДГК"</v>
      </c>
      <c r="T25" s="2941"/>
      <c r="U25" s="2941"/>
      <c r="V25" s="2941"/>
      <c r="W25" s="2941"/>
      <c r="X25" s="2941"/>
      <c r="Y25" s="2941"/>
      <c r="Z25" s="2941"/>
      <c r="AA25" s="2941"/>
      <c r="AB25" s="2941"/>
      <c r="AC25" s="2941"/>
      <c r="AD25" s="2941"/>
      <c r="AE25" s="2941"/>
      <c r="AF25" s="2941"/>
      <c r="AG25" s="2941"/>
      <c r="AH25" s="2941"/>
      <c r="AI25" s="2941"/>
      <c r="AJ25" s="2941"/>
      <c r="AK25" s="2941"/>
      <c r="AL25" s="2941"/>
      <c r="AM25" s="2941"/>
      <c r="AN25" s="2941"/>
      <c r="AO25" s="2941"/>
      <c r="AP25" s="2941"/>
      <c r="AQ25" s="1935"/>
      <c r="AY25" s="1847">
        <v>14</v>
      </c>
    </row>
    <row customHeight="1" ht="14.25" hidden="1">
      <c r="Q26" s="1068"/>
      <c r="R26" s="1068"/>
      <c r="S26" s="1967"/>
      <c r="T26" s="1055"/>
      <c r="U26" s="1055"/>
      <c r="V26" s="1014"/>
      <c r="W26" s="1014"/>
      <c r="X26" s="1014"/>
      <c r="Y26" s="1014"/>
      <c r="Z26" s="1014"/>
      <c r="AA26" s="1014"/>
      <c r="AB26" s="1014"/>
      <c r="AC26" s="1014"/>
      <c r="AD26" s="1014"/>
      <c r="AE26" s="1014"/>
      <c r="AF26" s="1014"/>
      <c r="AG26" s="1014"/>
      <c r="AH26" s="1014"/>
      <c r="AI26" s="1014"/>
      <c r="AJ26" s="1014"/>
      <c r="AK26" s="1014"/>
      <c r="AL26" s="1014"/>
      <c r="AM26" s="1014"/>
      <c r="AN26" s="1014"/>
      <c r="AO26" s="1014"/>
      <c r="AP26" s="1014"/>
      <c r="AQ26" s="1014"/>
      <c r="AR26" s="1201"/>
      <c r="AY26" s="1847">
        <v>0</v>
      </c>
    </row>
    <row s="63055" customFormat="1" customHeight="1" ht="25.5" hidden="1">
      <c r="A27" s="2060"/>
      <c r="B27" s="2060"/>
      <c r="C27" s="2060"/>
      <c r="D27" s="2060"/>
      <c r="E27" s="2060"/>
      <c r="F27" s="2060"/>
      <c r="G27" s="2060"/>
      <c r="H27" s="2060"/>
      <c r="I27" s="2060"/>
      <c r="J27" s="2060"/>
      <c r="K27" s="2060"/>
      <c r="L27" s="2061"/>
      <c r="M27" s="2060"/>
      <c r="N27" s="2060"/>
      <c r="O27" s="2060"/>
      <c r="S27" s="2942" t="s">
        <v>42</v>
      </c>
      <c r="T27" s="2942"/>
      <c r="U27" s="2064"/>
      <c r="V27" s="2943" t="str">
        <f>IF(TITLE_NAME_OR_PR_CHANGE="",IF(TITLE_NAME_OR_PR="","",TITLE_NAME_OR_PR),TITLE_NAME_OR_PR_CHANGE)</f>
        <v/>
      </c>
      <c r="W27" s="2943"/>
      <c r="X27" s="2943"/>
      <c r="Y27" s="2943"/>
      <c r="Z27" s="2943"/>
      <c r="AA27" s="2943"/>
      <c r="AB27" s="2943"/>
      <c r="AC27" s="2943"/>
      <c r="AD27" s="2943"/>
      <c r="AE27" s="2943"/>
      <c r="AF27" s="1018"/>
      <c r="AG27" s="2943" t="str">
        <f>IF(TITLE_NAME_OR_PR_CHANGE="",IF(TITLE_NAME_OR_PR="","",TITLE_NAME_OR_PR),TITLE_NAME_OR_PR_CHANGE)</f>
        <v/>
      </c>
      <c r="AH27" s="2943"/>
      <c r="AI27" s="2943"/>
      <c r="AJ27" s="2943"/>
      <c r="AK27" s="2943"/>
      <c r="AL27" s="2943"/>
      <c r="AM27" s="2943"/>
      <c r="AN27" s="2943"/>
      <c r="AO27" s="2943"/>
      <c r="AP27" s="2943"/>
      <c r="AQ27" s="1018"/>
      <c r="AR27" s="1018"/>
      <c r="AS27" s="972"/>
      <c r="AT27" s="1060"/>
      <c r="AU27" s="1060"/>
      <c r="AV27" s="1060"/>
      <c r="AW27" s="1060"/>
      <c r="AX27" s="1060"/>
      <c r="AY27" s="1110">
        <v>0</v>
      </c>
    </row>
    <row s="63055" customFormat="1" customHeight="1" ht="18.75" hidden="1">
      <c r="A28" s="2060"/>
      <c r="B28" s="2060"/>
      <c r="C28" s="2060"/>
      <c r="D28" s="2060"/>
      <c r="E28" s="2060"/>
      <c r="F28" s="2060"/>
      <c r="G28" s="2060"/>
      <c r="H28" s="2060"/>
      <c r="I28" s="2060"/>
      <c r="J28" s="2060"/>
      <c r="K28" s="2060"/>
      <c r="L28" s="2061"/>
      <c r="M28" s="2060"/>
      <c r="N28" s="2060"/>
      <c r="O28" s="2060"/>
      <c r="S28" s="2942" t="s">
        <v>495</v>
      </c>
      <c r="T28" s="2942"/>
      <c r="U28" s="2064"/>
      <c r="V28" s="2956" t="str">
        <f>IF(TITLE_DATE_PR_CHANGE="",IF(TITLE_DATE_PR="","",TITLE_DATE_PR),TITLE_DATE_PR_CHANGE)</f>
        <v>45981</v>
      </c>
      <c r="W28" s="2956"/>
      <c r="X28" s="2956"/>
      <c r="Y28" s="2956"/>
      <c r="Z28" s="2956"/>
      <c r="AA28" s="2956"/>
      <c r="AB28" s="2956"/>
      <c r="AC28" s="2956"/>
      <c r="AD28" s="2956"/>
      <c r="AE28" s="2956"/>
      <c r="AF28" s="1018"/>
      <c r="AG28" s="2956" t="str">
        <f>IF(TITLE_DATE_PR_CHANGE="",IF(TITLE_DATE_PR="","",TITLE_DATE_PR),TITLE_DATE_PR_CHANGE)</f>
        <v>45981</v>
      </c>
      <c r="AH28" s="2956"/>
      <c r="AI28" s="2956"/>
      <c r="AJ28" s="2956"/>
      <c r="AK28" s="2956"/>
      <c r="AL28" s="2956"/>
      <c r="AM28" s="2956"/>
      <c r="AN28" s="2956"/>
      <c r="AO28" s="2956"/>
      <c r="AP28" s="2956"/>
      <c r="AQ28" s="1018"/>
      <c r="AR28" s="1018"/>
      <c r="AS28" s="972"/>
      <c r="AT28" s="1060"/>
      <c r="AU28" s="1060"/>
      <c r="AV28" s="1060"/>
      <c r="AW28" s="1060"/>
      <c r="AX28" s="1060"/>
      <c r="AY28" s="1110">
        <v>0</v>
      </c>
    </row>
    <row s="63055" customFormat="1" customHeight="1" ht="18.75" hidden="1">
      <c r="A29" s="2060"/>
      <c r="B29" s="2060"/>
      <c r="C29" s="2060"/>
      <c r="D29" s="2060"/>
      <c r="E29" s="2060"/>
      <c r="F29" s="2060"/>
      <c r="G29" s="2060"/>
      <c r="H29" s="2060"/>
      <c r="I29" s="2060"/>
      <c r="J29" s="2060"/>
      <c r="K29" s="2060"/>
      <c r="L29" s="2061"/>
      <c r="M29" s="2060"/>
      <c r="N29" s="2060"/>
      <c r="O29" s="2060"/>
      <c r="S29" s="2942" t="s">
        <v>496</v>
      </c>
      <c r="T29" s="2942"/>
      <c r="U29" s="2064"/>
      <c r="V29" s="2943" t="str">
        <f>IF(TITLE_NUMBER_PR_CHANGE="",IF(TITLE_NUMBER_PR="","",TITLE_NUMBER_PR),TITLE_NUMBER_PR_CHANGE)</f>
        <v>Исх-260/1781</v>
      </c>
      <c r="W29" s="2943"/>
      <c r="X29" s="2943"/>
      <c r="Y29" s="2943"/>
      <c r="Z29" s="2943"/>
      <c r="AA29" s="2943"/>
      <c r="AB29" s="2943"/>
      <c r="AC29" s="2943"/>
      <c r="AD29" s="2943"/>
      <c r="AE29" s="2943"/>
      <c r="AF29" s="1018"/>
      <c r="AG29" s="2943" t="str">
        <f>IF(TITLE_NUMBER_PR_CHANGE="",IF(TITLE_NUMBER_PR="","",TITLE_NUMBER_PR),TITLE_NUMBER_PR_CHANGE)</f>
        <v>Исх-260/1781</v>
      </c>
      <c r="AH29" s="2943"/>
      <c r="AI29" s="2943"/>
      <c r="AJ29" s="2943"/>
      <c r="AK29" s="2943"/>
      <c r="AL29" s="2943"/>
      <c r="AM29" s="2943"/>
      <c r="AN29" s="2943"/>
      <c r="AO29" s="2943"/>
      <c r="AP29" s="2943"/>
      <c r="AQ29" s="1018"/>
      <c r="AR29" s="1018"/>
      <c r="AS29" s="972"/>
      <c r="AT29" s="1060"/>
      <c r="AU29" s="1060"/>
      <c r="AV29" s="1060"/>
      <c r="AW29" s="1060"/>
      <c r="AX29" s="1060"/>
      <c r="AY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43</v>
      </c>
      <c r="T30" s="2942"/>
      <c r="U30" s="2064"/>
      <c r="V30" s="2943" t="str">
        <f>IF(TITLE_IST_PUB_CHANGE="",IF(TITLE_IST_PUB="","",TITLE_IST_PUB),TITLE_IST_PUB_CHANGE)</f>
        <v/>
      </c>
      <c r="W30" s="2943"/>
      <c r="X30" s="2943"/>
      <c r="Y30" s="2943"/>
      <c r="Z30" s="2943"/>
      <c r="AA30" s="2943"/>
      <c r="AB30" s="2943"/>
      <c r="AC30" s="2943"/>
      <c r="AD30" s="2943"/>
      <c r="AE30" s="2943"/>
      <c r="AF30" s="1018"/>
      <c r="AG30" s="2943" t="str">
        <f>IF(TITLE_IST_PUB_CHANGE="",IF(TITLE_IST_PUB="","",TITLE_IST_PUB),TITLE_IST_PUB_CHANGE)</f>
        <v/>
      </c>
      <c r="AH30" s="2943"/>
      <c r="AI30" s="2943"/>
      <c r="AJ30" s="2943"/>
      <c r="AK30" s="2943"/>
      <c r="AL30" s="2943"/>
      <c r="AM30" s="2943"/>
      <c r="AN30" s="2943"/>
      <c r="AO30" s="2943"/>
      <c r="AP30" s="2943"/>
      <c r="AQ30" s="1018"/>
      <c r="AR30" s="1018"/>
      <c r="AS30" s="972"/>
      <c r="AT30" s="1060"/>
      <c r="AU30" s="1060"/>
      <c r="AV30" s="1060"/>
      <c r="AW30" s="1060"/>
      <c r="AX30" s="1060"/>
      <c r="AY30" s="1110">
        <v>0</v>
      </c>
    </row>
    <row customHeight="1" ht="14.25">
      <c r="Q31" s="1068"/>
      <c r="R31" s="1068"/>
      <c r="S31" s="1967"/>
      <c r="T31" s="1055"/>
      <c r="U31" s="1055"/>
      <c r="V31" s="1014"/>
      <c r="W31" s="1014"/>
      <c r="X31" s="1014"/>
      <c r="Y31" s="1014"/>
      <c r="Z31" s="1014"/>
      <c r="AA31" s="1014"/>
      <c r="AB31" s="1014"/>
      <c r="AC31" s="1014"/>
      <c r="AD31" s="1014"/>
      <c r="AE31" s="1014"/>
      <c r="AF31" s="1014"/>
      <c r="AG31" s="1014"/>
      <c r="AH31" s="1014"/>
      <c r="AI31" s="1014"/>
      <c r="AJ31" s="1014"/>
      <c r="AK31" s="1014"/>
      <c r="AL31" s="1014"/>
      <c r="AM31" s="1014"/>
      <c r="AN31" s="1014"/>
      <c r="AO31" s="1014"/>
      <c r="AP31" s="1014"/>
      <c r="AQ31" s="1014"/>
      <c r="AR31" s="1201"/>
      <c r="AY31" s="1847">
        <v>0</v>
      </c>
    </row>
    <row s="63055" customFormat="1" customHeight="1" ht="18.75">
      <c r="A32" s="2060"/>
      <c r="B32" s="2060"/>
      <c r="C32" s="2060"/>
      <c r="D32" s="2060"/>
      <c r="E32" s="2060"/>
      <c r="F32" s="2060"/>
      <c r="G32" s="2060"/>
      <c r="H32" s="2060"/>
      <c r="I32" s="2060"/>
      <c r="J32" s="2060"/>
      <c r="K32" s="2060"/>
      <c r="L32" s="2061"/>
      <c r="M32" s="2060"/>
      <c r="N32" s="2060"/>
      <c r="O32" s="2060"/>
      <c r="S32" s="2942" t="s">
        <v>497</v>
      </c>
      <c r="T32" s="2942"/>
      <c r="U32" s="2064"/>
      <c r="V32" s="2956" t="str">
        <f>IF(TITLE_DATE_PR_CHANGE="",IF(TITLE_DATE_PR="","",TITLE_DATE_PR),TITLE_DATE_PR_CHANGE)</f>
        <v>45981</v>
      </c>
      <c r="W32" s="2956"/>
      <c r="X32" s="2956"/>
      <c r="Y32" s="2956"/>
      <c r="Z32" s="2956"/>
      <c r="AA32" s="2956"/>
      <c r="AB32" s="2956"/>
      <c r="AC32" s="2956"/>
      <c r="AD32" s="2956"/>
      <c r="AE32" s="2956"/>
      <c r="AF32" s="1018"/>
      <c r="AG32" s="2956" t="str">
        <f>IF(TITLE_DATE_PR_CHANGE="",IF(TITLE_DATE_PR="","",TITLE_DATE_PR),TITLE_DATE_PR_CHANGE)</f>
        <v>45981</v>
      </c>
      <c r="AH32" s="2956"/>
      <c r="AI32" s="2956"/>
      <c r="AJ32" s="2956"/>
      <c r="AK32" s="2956"/>
      <c r="AL32" s="2956"/>
      <c r="AM32" s="2956"/>
      <c r="AN32" s="2956"/>
      <c r="AO32" s="2956"/>
      <c r="AP32" s="2956"/>
      <c r="AQ32" s="1018"/>
      <c r="AR32" s="1018"/>
      <c r="AS32" s="972"/>
      <c r="AT32" s="1060"/>
      <c r="AU32" s="1060"/>
      <c r="AV32" s="1060"/>
      <c r="AW32" s="1060"/>
      <c r="AX32" s="1060"/>
      <c r="AY32" s="1110">
        <v>0</v>
      </c>
    </row>
    <row s="63055" customFormat="1" customHeight="1" ht="18.75">
      <c r="A33" s="2060"/>
      <c r="B33" s="2060"/>
      <c r="C33" s="2060"/>
      <c r="D33" s="2060"/>
      <c r="E33" s="2060"/>
      <c r="F33" s="2060"/>
      <c r="G33" s="2060"/>
      <c r="H33" s="2060"/>
      <c r="I33" s="2060"/>
      <c r="J33" s="2060"/>
      <c r="K33" s="2060"/>
      <c r="L33" s="2061"/>
      <c r="M33" s="2060"/>
      <c r="N33" s="2060"/>
      <c r="O33" s="2060"/>
      <c r="S33" s="2942" t="s">
        <v>498</v>
      </c>
      <c r="T33" s="2942"/>
      <c r="U33" s="2064"/>
      <c r="V33" s="2943" t="str">
        <f>IF(TITLE_NUMBER_PR_CHANGE="",IF(TITLE_NUMBER_PR="","",TITLE_NUMBER_PR),TITLE_NUMBER_PR_CHANGE)</f>
        <v>Исх-260/1781</v>
      </c>
      <c r="W33" s="2943"/>
      <c r="X33" s="2943"/>
      <c r="Y33" s="2943"/>
      <c r="Z33" s="2943"/>
      <c r="AA33" s="2943"/>
      <c r="AB33" s="2943"/>
      <c r="AC33" s="2943"/>
      <c r="AD33" s="2943"/>
      <c r="AE33" s="2943"/>
      <c r="AF33" s="1018"/>
      <c r="AG33" s="2943" t="str">
        <f>IF(TITLE_NUMBER_PR_CHANGE="",IF(TITLE_NUMBER_PR="","",TITLE_NUMBER_PR),TITLE_NUMBER_PR_CHANGE)</f>
        <v>Исх-260/1781</v>
      </c>
      <c r="AH33" s="2943"/>
      <c r="AI33" s="2943"/>
      <c r="AJ33" s="2943"/>
      <c r="AK33" s="2943"/>
      <c r="AL33" s="2943"/>
      <c r="AM33" s="2943"/>
      <c r="AN33" s="2943"/>
      <c r="AO33" s="2943"/>
      <c r="AP33" s="2943"/>
      <c r="AQ33" s="1018"/>
      <c r="AR33" s="1018"/>
      <c r="AS33" s="972"/>
      <c r="AT33" s="1060"/>
      <c r="AU33" s="1060"/>
      <c r="AV33" s="1060"/>
      <c r="AW33" s="1060"/>
      <c r="AX33" s="1060"/>
      <c r="AY33" s="1110">
        <v>0</v>
      </c>
    </row>
    <row s="63055" customFormat="1" customHeight="1" ht="1.05">
      <c r="A34" s="2060"/>
      <c r="B34" s="2060"/>
      <c r="C34" s="2060"/>
      <c r="D34" s="2060"/>
      <c r="E34" s="2060"/>
      <c r="F34" s="2060"/>
      <c r="G34" s="2060"/>
      <c r="H34" s="2060"/>
      <c r="I34" s="2060"/>
      <c r="J34" s="2060"/>
      <c r="K34" s="2060"/>
      <c r="L34" s="2061"/>
      <c r="M34" s="2060"/>
      <c r="N34" s="2060"/>
      <c r="O34" s="2060"/>
      <c r="S34" s="1015"/>
      <c r="T34" s="1015"/>
      <c r="U34" s="2180"/>
      <c r="V34" s="1018"/>
      <c r="W34" s="2327"/>
      <c r="X34" s="2327"/>
      <c r="Y34" s="2327"/>
      <c r="Z34" s="2327"/>
      <c r="AA34" s="2327"/>
      <c r="AB34" s="2327"/>
      <c r="AC34" s="1018"/>
      <c r="AD34" s="1018"/>
      <c r="AE34" s="1018"/>
      <c r="AF34" s="970" t="s">
        <v>499</v>
      </c>
      <c r="AG34" s="1018"/>
      <c r="AH34" s="2327"/>
      <c r="AI34" s="2327"/>
      <c r="AJ34" s="2327"/>
      <c r="AK34" s="2327"/>
      <c r="AL34" s="2327"/>
      <c r="AM34" s="1018"/>
      <c r="AN34" s="1018"/>
      <c r="AO34" s="1018"/>
      <c r="AP34" s="1018"/>
      <c r="AQ34" s="970" t="s">
        <v>499</v>
      </c>
      <c r="AT34" s="1060"/>
      <c r="AU34" s="1060"/>
      <c r="AV34" s="1060"/>
      <c r="AW34" s="1060"/>
      <c r="AX34" s="1060"/>
      <c r="AY34" s="1110">
        <v>1</v>
      </c>
    </row>
    <row customHeight="1" ht="14.699999999999998">
      <c r="Q35" s="1068"/>
      <c r="R35" s="1068"/>
      <c r="S35" s="1967"/>
      <c r="T35" s="1055"/>
      <c r="U35" s="1936"/>
      <c r="V35" s="2944"/>
      <c r="W35" s="2944"/>
      <c r="X35" s="2944"/>
      <c r="Y35" s="2944"/>
      <c r="Z35" s="2944"/>
      <c r="AA35" s="2944"/>
      <c r="AB35" s="2944"/>
      <c r="AC35" s="2944"/>
      <c r="AD35" s="2944"/>
      <c r="AE35" s="2944"/>
      <c r="AF35" s="2944"/>
      <c r="AG35" s="2944"/>
      <c r="AH35" s="2944"/>
      <c r="AI35" s="2944"/>
      <c r="AJ35" s="2944"/>
      <c r="AK35" s="2944"/>
      <c r="AL35" s="2944"/>
      <c r="AM35" s="2944"/>
      <c r="AN35" s="2944"/>
      <c r="AO35" s="2944"/>
      <c r="AP35" s="2944"/>
      <c r="AQ35" s="2944"/>
      <c r="AY35" s="1847">
        <v>14</v>
      </c>
    </row>
    <row customHeight="1" ht="14.699999999999998">
      <c r="Q36" s="1068"/>
      <c r="R36" s="1068"/>
      <c r="S36" s="2819" t="s">
        <v>375</v>
      </c>
      <c r="T36" s="2819"/>
      <c r="U36" s="2819"/>
      <c r="V36" s="2819"/>
      <c r="W36" s="2819"/>
      <c r="X36" s="2819"/>
      <c r="Y36" s="2819"/>
      <c r="Z36" s="2819"/>
      <c r="AA36" s="2819"/>
      <c r="AB36" s="2819"/>
      <c r="AC36" s="2819"/>
      <c r="AD36" s="2819"/>
      <c r="AE36" s="2819"/>
      <c r="AF36" s="2819"/>
      <c r="AG36" s="2819"/>
      <c r="AH36" s="2819"/>
      <c r="AI36" s="2819"/>
      <c r="AJ36" s="2819"/>
      <c r="AK36" s="2819"/>
      <c r="AL36" s="2819"/>
      <c r="AM36" s="2819"/>
      <c r="AN36" s="2819"/>
      <c r="AO36" s="2819"/>
      <c r="AP36" s="2819"/>
      <c r="AQ36" s="2819"/>
      <c r="AR36" s="2819"/>
      <c r="AS36" s="2819" t="s">
        <v>376</v>
      </c>
      <c r="AY36" s="1847">
        <v>14</v>
      </c>
    </row>
    <row customHeight="1" ht="14.699999999999998">
      <c r="Q37" s="1068"/>
      <c r="R37" s="1068"/>
      <c r="S37" s="2965" t="s">
        <v>89</v>
      </c>
      <c r="T37" s="2901" t="s">
        <v>500</v>
      </c>
      <c r="U37" s="993"/>
      <c r="V37" s="2966" t="s">
        <v>501</v>
      </c>
      <c r="W37" s="2983"/>
      <c r="X37" s="2983"/>
      <c r="Y37" s="2983"/>
      <c r="Z37" s="2983"/>
      <c r="AA37" s="2983"/>
      <c r="AB37" s="2983"/>
      <c r="AC37" s="2967"/>
      <c r="AD37" s="2967"/>
      <c r="AE37" s="2968"/>
      <c r="AF37" s="2969" t="s">
        <v>502</v>
      </c>
      <c r="AG37" s="2966" t="s">
        <v>501</v>
      </c>
      <c r="AH37" s="2967"/>
      <c r="AI37" s="2967"/>
      <c r="AJ37" s="2967"/>
      <c r="AK37" s="2967"/>
      <c r="AL37" s="2967"/>
      <c r="AM37" s="2967"/>
      <c r="AN37" s="2967"/>
      <c r="AO37" s="2967"/>
      <c r="AP37" s="2968"/>
      <c r="AQ37" s="2969" t="s">
        <v>503</v>
      </c>
      <c r="AR37" s="2972" t="s">
        <v>504</v>
      </c>
      <c r="AS37" s="2819"/>
      <c r="AY37" s="1847">
        <v>14</v>
      </c>
    </row>
    <row customHeight="1" ht="19.95">
      <c r="Q38" s="1068"/>
      <c r="R38" s="1068"/>
      <c r="S38" s="2965"/>
      <c r="T38" s="2901"/>
      <c r="U38" s="1723"/>
      <c r="V38" s="3058" t="s">
        <v>606</v>
      </c>
      <c r="W38" s="3057" t="s">
        <v>607</v>
      </c>
      <c r="X38" s="3057"/>
      <c r="Y38" s="3057"/>
      <c r="Z38" s="3057" t="s">
        <v>608</v>
      </c>
      <c r="AA38" s="3057"/>
      <c r="AB38" s="3057"/>
      <c r="AC38" s="2986" t="s">
        <v>508</v>
      </c>
      <c r="AD38" s="3005"/>
      <c r="AE38" s="3006"/>
      <c r="AF38" s="2970"/>
      <c r="AG38" s="3058" t="s">
        <v>606</v>
      </c>
      <c r="AH38" s="3057" t="s">
        <v>607</v>
      </c>
      <c r="AI38" s="3057"/>
      <c r="AJ38" s="3057"/>
      <c r="AK38" s="3057" t="s">
        <v>608</v>
      </c>
      <c r="AL38" s="3057"/>
      <c r="AM38" s="3057"/>
      <c r="AN38" s="2986" t="s">
        <v>508</v>
      </c>
      <c r="AO38" s="3005"/>
      <c r="AP38" s="3006"/>
      <c r="AQ38" s="2970"/>
      <c r="AR38" s="2973"/>
      <c r="AS38" s="2819"/>
      <c r="AY38" s="1847">
        <v>19</v>
      </c>
    </row>
    <row s="62286" customFormat="1" customHeight="1" ht="19.95">
      <c r="A39" s="2058"/>
      <c r="B39" s="2058"/>
      <c r="C39" s="2058"/>
      <c r="D39" s="2058"/>
      <c r="E39" s="2058"/>
      <c r="F39" s="2058"/>
      <c r="G39" s="2058"/>
      <c r="H39" s="2058"/>
      <c r="I39" s="2058"/>
      <c r="J39" s="2058"/>
      <c r="K39" s="2058"/>
      <c r="L39" s="2643"/>
      <c r="M39" s="2054"/>
      <c r="N39" s="2054"/>
      <c r="O39" s="2054"/>
      <c r="P39" s="2657"/>
      <c r="Q39" s="1068"/>
      <c r="R39" s="1068"/>
      <c r="S39" s="2965"/>
      <c r="T39" s="2901"/>
      <c r="U39" s="1723"/>
      <c r="V39" s="3058"/>
      <c r="W39" s="3057" t="s">
        <v>609</v>
      </c>
      <c r="X39" s="3057" t="s">
        <v>610</v>
      </c>
      <c r="Y39" s="3057"/>
      <c r="Z39" s="3057" t="s">
        <v>611</v>
      </c>
      <c r="AA39" s="3057" t="s">
        <v>610</v>
      </c>
      <c r="AB39" s="3057"/>
      <c r="AC39" s="2987"/>
      <c r="AD39" s="3007"/>
      <c r="AE39" s="3008"/>
      <c r="AF39" s="2970"/>
      <c r="AG39" s="3058"/>
      <c r="AH39" s="3057" t="s">
        <v>609</v>
      </c>
      <c r="AI39" s="3057" t="s">
        <v>610</v>
      </c>
      <c r="AJ39" s="3057"/>
      <c r="AK39" s="3057" t="s">
        <v>611</v>
      </c>
      <c r="AL39" s="3057" t="s">
        <v>610</v>
      </c>
      <c r="AM39" s="3057"/>
      <c r="AN39" s="2987"/>
      <c r="AO39" s="3007"/>
      <c r="AP39" s="3008"/>
      <c r="AQ39" s="2970"/>
      <c r="AR39" s="2973"/>
      <c r="AS39" s="2819"/>
      <c r="AT39" s="2328"/>
      <c r="AU39" s="2328"/>
      <c r="AV39" s="2328"/>
      <c r="AW39" s="2328"/>
      <c r="AX39" s="2328"/>
      <c r="AY39" s="2323">
        <v>19</v>
      </c>
    </row>
    <row customHeight="1" ht="61.949999999999996">
      <c r="A40" s="2062"/>
      <c r="B40" s="2062" t="s">
        <v>143</v>
      </c>
      <c r="C40" s="2062" t="s">
        <v>144</v>
      </c>
      <c r="D40" s="2062" t="s">
        <v>145</v>
      </c>
      <c r="E40" s="2056" t="s">
        <v>509</v>
      </c>
      <c r="F40" s="2056" t="s">
        <v>510</v>
      </c>
      <c r="G40" s="2056" t="s">
        <v>511</v>
      </c>
      <c r="H40" s="2056"/>
      <c r="I40" s="2056" t="s">
        <v>564</v>
      </c>
      <c r="J40" s="2056" t="s">
        <v>514</v>
      </c>
      <c r="K40" s="2056" t="s">
        <v>565</v>
      </c>
      <c r="L40" s="2056" t="s">
        <v>490</v>
      </c>
      <c r="Q40" s="1068"/>
      <c r="R40" s="1068"/>
      <c r="S40" s="2965"/>
      <c r="T40" s="2901"/>
      <c r="U40" s="994"/>
      <c r="V40" s="3058"/>
      <c r="W40" s="3057"/>
      <c r="X40" s="2675" t="s">
        <v>612</v>
      </c>
      <c r="Y40" s="2675" t="s">
        <v>613</v>
      </c>
      <c r="Z40" s="3057"/>
      <c r="AA40" s="2675" t="s">
        <v>614</v>
      </c>
      <c r="AB40" s="2675" t="s">
        <v>615</v>
      </c>
      <c r="AC40" s="2181" t="s">
        <v>518</v>
      </c>
      <c r="AD40" s="2962" t="s">
        <v>519</v>
      </c>
      <c r="AE40" s="2963"/>
      <c r="AF40" s="2971"/>
      <c r="AG40" s="3058"/>
      <c r="AH40" s="3057"/>
      <c r="AI40" s="2675" t="s">
        <v>612</v>
      </c>
      <c r="AJ40" s="2675" t="s">
        <v>613</v>
      </c>
      <c r="AK40" s="3057"/>
      <c r="AL40" s="2675" t="s">
        <v>614</v>
      </c>
      <c r="AM40" s="2675" t="s">
        <v>615</v>
      </c>
      <c r="AN40" s="2181" t="s">
        <v>518</v>
      </c>
      <c r="AO40" s="2962" t="s">
        <v>519</v>
      </c>
      <c r="AP40" s="2963"/>
      <c r="AQ40" s="2971"/>
      <c r="AR40" s="2974"/>
      <c r="AS40" s="2819"/>
      <c r="AY40" s="1847">
        <v>59</v>
      </c>
    </row>
    <row s="61193" customFormat="1" customHeight="1" ht="11.25" hidden="1">
      <c r="A41" s="2062"/>
      <c r="B41" s="2062"/>
      <c r="C41" s="2062"/>
      <c r="D41" s="2062"/>
      <c r="E41" s="2062"/>
      <c r="F41" s="2062"/>
      <c r="G41" s="2062"/>
      <c r="H41" s="2062"/>
      <c r="I41" s="2062"/>
      <c r="J41" s="2062"/>
      <c r="K41" s="2062"/>
      <c r="L41" s="2056"/>
      <c r="M41" s="2054"/>
      <c r="N41" s="2054"/>
      <c r="O41" s="2054"/>
      <c r="P41" s="1938"/>
      <c r="Q41" s="1939"/>
      <c r="R41" s="1946">
        <v>1</v>
      </c>
      <c r="S41" s="1969" t="s">
        <v>118</v>
      </c>
      <c r="T41" s="1947" t="s">
        <v>103</v>
      </c>
      <c r="U41" s="1937" t="str">
        <f>OFFSET(U41,0,-1)</f>
        <v>2</v>
      </c>
      <c r="V41" s="2174">
        <f>OFFSET(V41,0,-1)+1</f>
        <v>3</v>
      </c>
      <c r="W41" s="2033"/>
      <c r="X41" s="2033"/>
      <c r="Y41" s="2033"/>
      <c r="Z41" s="2033"/>
      <c r="AA41" s="2033"/>
      <c r="AB41" s="2033"/>
      <c r="AC41" s="2174">
        <f>OFFSET(AC41,0,-1)+1</f>
        <v>1</v>
      </c>
      <c r="AD41" s="2964">
        <f>OFFSET(AD41,0,-1)+1</f>
        <v>2</v>
      </c>
      <c r="AE41" s="2964"/>
      <c r="AF41" s="2174">
        <f>OFFSET(AF41,0,-2)+1</f>
        <v>3</v>
      </c>
      <c r="AG41" s="2174">
        <f>OFFSET(AG41,0,-1)+1</f>
        <v>4</v>
      </c>
      <c r="AH41" s="2648"/>
      <c r="AI41" s="2648"/>
      <c r="AJ41" s="2648"/>
      <c r="AK41" s="2648"/>
      <c r="AL41" s="2648"/>
      <c r="AM41" s="2174">
        <f>OFFSET(AM41,0,-1)+1</f>
        <v>1</v>
      </c>
      <c r="AN41" s="2174">
        <f>OFFSET(AN41,0,-1)+1</f>
        <v>2</v>
      </c>
      <c r="AO41" s="2964">
        <f>OFFSET(AO41,0,-1)+1</f>
        <v>3</v>
      </c>
      <c r="AP41" s="2964"/>
      <c r="AQ41" s="2174">
        <f>OFFSET(AQ41,0,-2)+1</f>
        <v>4</v>
      </c>
      <c r="AR41" s="1937">
        <f>OFFSET(AR41,0,-1)</f>
        <v>4</v>
      </c>
      <c r="AS41" s="2174">
        <f>OFFSET(AS41,0,-1)+1</f>
        <v>5</v>
      </c>
      <c r="AT41" s="1203"/>
      <c r="AU41" s="1203"/>
      <c r="AV41" s="1203"/>
      <c r="AW41" s="1203"/>
      <c r="AX41" s="1203"/>
      <c r="AY41" s="1188">
        <v>0</v>
      </c>
    </row>
    <row customHeight="1" ht="24">
      <c r="A42" s="2055" t="s">
        <v>326</v>
      </c>
      <c r="B42" s="2055"/>
      <c r="C42" s="2055"/>
      <c r="D42" s="2055"/>
      <c r="E42" s="2950">
        <v>1</v>
      </c>
      <c r="F42" s="2055"/>
      <c r="G42" s="2055"/>
      <c r="H42" s="2055"/>
      <c r="I42" s="2055"/>
      <c r="J42" s="2055"/>
      <c r="K42" s="2055"/>
      <c r="L42" s="2056"/>
      <c r="M42" s="2057"/>
      <c r="N42" s="2057"/>
      <c r="O42" s="2057"/>
      <c r="P42" s="1053"/>
      <c r="Q42" s="1052"/>
      <c r="R42" s="1047"/>
      <c r="S42" s="2185">
        <f>INDEX(PT_DIFFERENTIATION_NUM_NTAR,MATCH(A42,PT_DIFFERENTIATION_NTAR_ID,0))</f>
        <v>0</v>
      </c>
      <c r="T42" s="990" t="s">
        <v>131</v>
      </c>
      <c r="U42" s="992"/>
      <c r="V42" s="2934"/>
      <c r="W42" s="2935"/>
      <c r="X42" s="2935"/>
      <c r="Y42" s="2935"/>
      <c r="Z42" s="2935"/>
      <c r="AA42" s="2935"/>
      <c r="AB42" s="2935"/>
      <c r="AC42" s="2935"/>
      <c r="AD42" s="2935"/>
      <c r="AE42" s="2935"/>
      <c r="AF42" s="2936"/>
      <c r="AG42" s="2934" t="str">
        <f>INDEX(PT_DIFFERENTIATION_NTAR,MATCH(A42,PT_DIFFERENTIATION_NTAR_ID,0))</f>
        <v/>
      </c>
      <c r="AH42" s="2935"/>
      <c r="AI42" s="2935"/>
      <c r="AJ42" s="2935"/>
      <c r="AK42" s="2935"/>
      <c r="AL42" s="2935"/>
      <c r="AM42" s="2935"/>
      <c r="AN42" s="2935"/>
      <c r="AO42" s="2935"/>
      <c r="AP42" s="2935"/>
      <c r="AQ42" s="2935"/>
      <c r="AR42" s="2936"/>
      <c r="AS4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192"/>
      <c r="AV42" s="1192" t="str">
        <f>IF(T42="","",T42)</f>
        <v>Наименование тарифа</v>
      </c>
      <c r="AW42" s="1192"/>
      <c r="AX42" s="1192"/>
      <c r="AY42" s="1847">
        <v>23</v>
      </c>
    </row>
    <row customHeight="1" ht="24">
      <c r="A43" s="2055" t="s">
        <v>326</v>
      </c>
      <c r="B43" s="2055" t="s">
        <v>327</v>
      </c>
      <c r="C43" s="2055"/>
      <c r="D43" s="2055"/>
      <c r="E43" s="2951"/>
      <c r="F43" s="2950">
        <v>1</v>
      </c>
      <c r="G43" s="2055"/>
      <c r="H43" s="2055"/>
      <c r="I43" s="2055"/>
      <c r="J43" s="2055"/>
      <c r="K43" s="2055"/>
      <c r="L43" s="2056"/>
      <c r="M43" s="2057"/>
      <c r="N43" s="2057"/>
      <c r="O43" s="2057"/>
      <c r="P43" s="2179"/>
      <c r="Q43" s="1044"/>
      <c r="R43" s="1045"/>
      <c r="S43" s="2185" t="str">
        <f>INDEX(PT_DIFFERENTIATION_NUM_TER,MATCH(B43,PT_DIFFERENTIATION_TER_ID,0))</f>
        <v>.</v>
      </c>
      <c r="T43" s="1000" t="s">
        <v>472</v>
      </c>
      <c r="U43" s="992"/>
      <c r="V43" s="2934"/>
      <c r="W43" s="2935"/>
      <c r="X43" s="2935"/>
      <c r="Y43" s="2935"/>
      <c r="Z43" s="2935"/>
      <c r="AA43" s="2935"/>
      <c r="AB43" s="2935"/>
      <c r="AC43" s="2935"/>
      <c r="AD43" s="2935"/>
      <c r="AE43" s="2935"/>
      <c r="AF43" s="2936"/>
      <c r="AG43" s="2934" t="str">
        <f>INDEX(PT_DIFFERENTIATION_TER,MATCH(B43,PT_DIFFERENTIATION_TER_ID,0))</f>
        <v/>
      </c>
      <c r="AH43" s="2935"/>
      <c r="AI43" s="2935"/>
      <c r="AJ43" s="2935"/>
      <c r="AK43" s="2935"/>
      <c r="AL43" s="2935"/>
      <c r="AM43" s="2935"/>
      <c r="AN43" s="2935"/>
      <c r="AO43" s="2935"/>
      <c r="AP43" s="2935"/>
      <c r="AQ43" s="2935"/>
      <c r="AR43" s="2936"/>
      <c r="AS43" s="1950" t="s">
        <v>473</v>
      </c>
      <c r="AU43" s="1192"/>
      <c r="AV43" s="1192" t="str">
        <f>IF(T43="","",T43)</f>
        <v>Территория действия тарифа</v>
      </c>
      <c r="AW43" s="1192"/>
      <c r="AX43" s="1192"/>
      <c r="AY43" s="1847">
        <v>23</v>
      </c>
    </row>
    <row customHeight="1" ht="24">
      <c r="A44" s="2055" t="s">
        <v>326</v>
      </c>
      <c r="B44" s="2055" t="s">
        <v>327</v>
      </c>
      <c r="C44" s="2055" t="s">
        <v>328</v>
      </c>
      <c r="D44" s="2055"/>
      <c r="E44" s="2951"/>
      <c r="F44" s="2951"/>
      <c r="G44" s="2950">
        <v>1</v>
      </c>
      <c r="H44" s="2055"/>
      <c r="I44" s="2055"/>
      <c r="J44" s="2055"/>
      <c r="K44" s="2055"/>
      <c r="L44" s="2056"/>
      <c r="M44" s="2057"/>
      <c r="N44" s="2057"/>
      <c r="O44" s="2057"/>
      <c r="P44" s="1046"/>
      <c r="Q44" s="1044"/>
      <c r="R44" s="1045"/>
      <c r="S44" s="2185" t="str">
        <f>INDEX(PT_DIFFERENTIATION_NUM_CS,MATCH(C44,PT_DIFFERENTIATION_CS_ID,0))</f>
        <v>..</v>
      </c>
      <c r="T44" s="1001" t="s">
        <v>604</v>
      </c>
      <c r="U44" s="992"/>
      <c r="V44" s="2934"/>
      <c r="W44" s="2935"/>
      <c r="X44" s="2935"/>
      <c r="Y44" s="2935"/>
      <c r="Z44" s="2935"/>
      <c r="AA44" s="2935"/>
      <c r="AB44" s="2935"/>
      <c r="AC44" s="2935"/>
      <c r="AD44" s="2935"/>
      <c r="AE44" s="2935"/>
      <c r="AF44" s="2936"/>
      <c r="AG44" s="2934" t="str">
        <f>INDEX(PT_DIFFERENTIATION_CS,MATCH(C44,PT_DIFFERENTIATION_CS_ID,0))</f>
        <v/>
      </c>
      <c r="AH44" s="2935"/>
      <c r="AI44" s="2935"/>
      <c r="AJ44" s="2935"/>
      <c r="AK44" s="2935"/>
      <c r="AL44" s="2935"/>
      <c r="AM44" s="2935"/>
      <c r="AN44" s="2935"/>
      <c r="AO44" s="2935"/>
      <c r="AP44" s="2935"/>
      <c r="AQ44" s="2935"/>
      <c r="AR44" s="2936"/>
      <c r="AS44" s="1950" t="s">
        <v>605</v>
      </c>
      <c r="AU44" s="1192"/>
      <c r="AV44" s="1192" t="str">
        <f>IF(T44="","",T44)</f>
        <v>Наименование централизованной системы горячего водоснабжения</v>
      </c>
      <c r="AW44" s="1192"/>
      <c r="AX44" s="1192"/>
      <c r="AY44" s="1847">
        <v>23</v>
      </c>
    </row>
    <row customHeight="1" ht="24">
      <c r="A45" s="2055" t="s">
        <v>326</v>
      </c>
      <c r="B45" s="2055" t="s">
        <v>327</v>
      </c>
      <c r="C45" s="2055" t="s">
        <v>328</v>
      </c>
      <c r="D45" s="2055" t="s">
        <v>616</v>
      </c>
      <c r="E45" s="2951"/>
      <c r="F45" s="2951"/>
      <c r="G45" s="2951"/>
      <c r="H45" s="2951"/>
      <c r="I45" s="2948" t="str">
        <f>S44&amp;".1"</f>
        <v>...1</v>
      </c>
      <c r="J45" s="2055"/>
      <c r="K45" s="2055"/>
      <c r="L45" s="2056"/>
      <c r="P45" s="2949">
        <v>1</v>
      </c>
      <c r="Q45" s="2173"/>
      <c r="R45" s="1048"/>
      <c r="S45" s="2185" t="str">
        <f>$I45</f>
        <v>...1</v>
      </c>
      <c r="T45" s="977" t="s">
        <v>557</v>
      </c>
      <c r="U45" s="992"/>
      <c r="V45" s="3042"/>
      <c r="W45" s="3043"/>
      <c r="X45" s="3043"/>
      <c r="Y45" s="3043"/>
      <c r="Z45" s="3043"/>
      <c r="AA45" s="3043"/>
      <c r="AB45" s="3043"/>
      <c r="AC45" s="3043"/>
      <c r="AD45" s="3043"/>
      <c r="AE45" s="3043"/>
      <c r="AF45" s="3044"/>
      <c r="AG45" s="3045"/>
      <c r="AH45" s="3046"/>
      <c r="AI45" s="3046"/>
      <c r="AJ45" s="3046"/>
      <c r="AK45" s="3046"/>
      <c r="AL45" s="3046"/>
      <c r="AM45" s="3046"/>
      <c r="AN45" s="3046"/>
      <c r="AO45" s="3046"/>
      <c r="AP45" s="3046"/>
      <c r="AQ45" s="3046"/>
      <c r="AR45" s="3047"/>
      <c r="AS45" s="1950" t="s">
        <v>558</v>
      </c>
      <c r="AU45" s="1192"/>
      <c r="AV45" s="1192" t="str">
        <f>IF(T45="","",T45)</f>
        <v>Наименование признака дифференциации</v>
      </c>
      <c r="AW45" s="1192"/>
      <c r="AX45" s="1192"/>
      <c r="AY45" s="1847">
        <v>23</v>
      </c>
    </row>
    <row customHeight="1" ht="24">
      <c r="A46" s="2055" t="s">
        <v>326</v>
      </c>
      <c r="B46" s="2055" t="s">
        <v>327</v>
      </c>
      <c r="C46" s="2055" t="s">
        <v>328</v>
      </c>
      <c r="D46" s="2055" t="s">
        <v>616</v>
      </c>
      <c r="E46" s="2951"/>
      <c r="F46" s="2951"/>
      <c r="G46" s="2951"/>
      <c r="H46" s="2951"/>
      <c r="I46" s="2978"/>
      <c r="J46" s="2948" t="str">
        <f>I45&amp;".1"</f>
        <v>...1.1</v>
      </c>
      <c r="K46" s="2055"/>
      <c r="L46" s="2056" t="s">
        <v>481</v>
      </c>
      <c r="P46" s="2949"/>
      <c r="Q46" s="2949">
        <v>1</v>
      </c>
      <c r="R46" s="1049"/>
      <c r="S46" s="2185" t="str">
        <f>$J46</f>
        <v>...1.1</v>
      </c>
      <c r="T46" s="978" t="s">
        <v>482</v>
      </c>
      <c r="U46" s="992"/>
      <c r="V46" s="2937"/>
      <c r="W46" s="2938"/>
      <c r="X46" s="2938"/>
      <c r="Y46" s="2938"/>
      <c r="Z46" s="2938"/>
      <c r="AA46" s="2938"/>
      <c r="AB46" s="2938"/>
      <c r="AC46" s="2938"/>
      <c r="AD46" s="2938"/>
      <c r="AE46" s="2938"/>
      <c r="AF46" s="2939"/>
      <c r="AG46" s="2937"/>
      <c r="AH46" s="2938"/>
      <c r="AI46" s="2938"/>
      <c r="AJ46" s="2938"/>
      <c r="AK46" s="2938"/>
      <c r="AL46" s="2938"/>
      <c r="AM46" s="2938"/>
      <c r="AN46" s="2938"/>
      <c r="AO46" s="2938"/>
      <c r="AP46" s="2938"/>
      <c r="AQ46" s="2938"/>
      <c r="AR46" s="2939"/>
      <c r="AS46" s="1999" t="s">
        <v>559</v>
      </c>
      <c r="AU46" s="1192"/>
      <c r="AV46" s="1192" t="str">
        <f>IF(T46="","",T46)</f>
        <v>Группа потребителей</v>
      </c>
      <c r="AW46" s="1192"/>
      <c r="AX46" s="1192"/>
      <c r="AY46" s="1847">
        <v>23</v>
      </c>
    </row>
    <row customHeight="1" ht="24">
      <c r="A47" s="2055" t="s">
        <v>326</v>
      </c>
      <c r="B47" s="2055" t="s">
        <v>327</v>
      </c>
      <c r="C47" s="2055" t="s">
        <v>328</v>
      </c>
      <c r="D47" s="2055" t="s">
        <v>616</v>
      </c>
      <c r="E47" s="2951"/>
      <c r="F47" s="2951"/>
      <c r="G47" s="2951"/>
      <c r="H47" s="2951"/>
      <c r="I47" s="2978"/>
      <c r="J47" s="2978"/>
      <c r="K47" s="2948" t="str">
        <f>J46&amp;".1"</f>
        <v>...1.1.1</v>
      </c>
      <c r="L47" s="2056"/>
      <c r="P47" s="2949"/>
      <c r="Q47" s="2949"/>
      <c r="R47" s="1049">
        <v>1</v>
      </c>
      <c r="S47" s="2185" t="str">
        <f>$K47</f>
        <v>...1.1.1</v>
      </c>
      <c r="T47" s="2129"/>
      <c r="U47" s="992"/>
      <c r="V47" s="1443"/>
      <c r="W47" s="1443"/>
      <c r="X47" s="1443"/>
      <c r="Y47" s="1443"/>
      <c r="Z47" s="1443"/>
      <c r="AA47" s="1443"/>
      <c r="AB47" s="1443"/>
      <c r="AC47" s="2959"/>
      <c r="AD47" s="2960" t="s">
        <v>67</v>
      </c>
      <c r="AE47" s="2959"/>
      <c r="AF47" s="2960" t="s">
        <v>67</v>
      </c>
      <c r="AG47" s="1443"/>
      <c r="AH47" s="1443"/>
      <c r="AI47" s="1443"/>
      <c r="AJ47" s="1443"/>
      <c r="AK47" s="1443"/>
      <c r="AL47" s="1443"/>
      <c r="AM47" s="1443"/>
      <c r="AN47" s="2957"/>
      <c r="AO47" s="2799" t="s">
        <v>67</v>
      </c>
      <c r="AP47" s="2979"/>
      <c r="AQ47" s="2799" t="s">
        <v>19</v>
      </c>
      <c r="AR47" s="2130"/>
      <c r="AS47"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203">
        <f>STRCHECKDATE(V48:AR48)</f>
      </c>
      <c r="AU47" s="1192"/>
      <c r="AV47" s="1192" t="str">
        <f>IF(T47="","",T47)</f>
        <v/>
      </c>
      <c r="AW47" s="1192"/>
      <c r="AX47" s="1192"/>
      <c r="AY47" s="1847">
        <v>23</v>
      </c>
    </row>
    <row customHeight="1" ht="0">
      <c r="A48" s="2055" t="s">
        <v>326</v>
      </c>
      <c r="B48" s="2055" t="s">
        <v>327</v>
      </c>
      <c r="C48" s="2055" t="s">
        <v>328</v>
      </c>
      <c r="D48" s="2055" t="s">
        <v>616</v>
      </c>
      <c r="E48" s="2951"/>
      <c r="F48" s="2951"/>
      <c r="G48" s="2951"/>
      <c r="H48" s="2951"/>
      <c r="I48" s="2978"/>
      <c r="J48" s="2978"/>
      <c r="K48" s="2948"/>
      <c r="L48" s="2056"/>
      <c r="P48" s="2949"/>
      <c r="Q48" s="2949"/>
      <c r="R48" s="1049"/>
      <c r="S48" s="2182"/>
      <c r="T48" s="992"/>
      <c r="U48" s="992"/>
      <c r="V48" s="2052"/>
      <c r="W48" s="2052"/>
      <c r="X48" s="2052"/>
      <c r="Y48" s="2052"/>
      <c r="Z48" s="2052"/>
      <c r="AA48" s="2052"/>
      <c r="AB48" s="2052"/>
      <c r="AC48" s="2960"/>
      <c r="AD48" s="2960"/>
      <c r="AE48" s="2960"/>
      <c r="AF48" s="2960"/>
      <c r="AG48" s="1017"/>
      <c r="AH48" s="1017"/>
      <c r="AI48" s="1017"/>
      <c r="AJ48" s="1017"/>
      <c r="AK48" s="1017"/>
      <c r="AL48" s="1017"/>
      <c r="AM48" s="1017"/>
      <c r="AN48" s="2958"/>
      <c r="AO48" s="2799"/>
      <c r="AP48" s="2980"/>
      <c r="AQ48" s="2799"/>
      <c r="AR48" s="2131"/>
      <c r="AS48" s="3041"/>
      <c r="AU48" s="1192"/>
      <c r="AV48" s="1192" t="str">
        <f>IF(T48="","",T48)</f>
        <v/>
      </c>
      <c r="AW48" s="1192"/>
      <c r="AX48" s="1192"/>
      <c r="AY48" s="1847">
        <v>0</v>
      </c>
    </row>
    <row customHeight="1" ht="21">
      <c r="A49" s="2055" t="s">
        <v>326</v>
      </c>
      <c r="B49" s="2055" t="s">
        <v>327</v>
      </c>
      <c r="C49" s="2055" t="s">
        <v>328</v>
      </c>
      <c r="D49" s="2055" t="s">
        <v>616</v>
      </c>
      <c r="E49" s="2951"/>
      <c r="F49" s="2951"/>
      <c r="G49" s="2951"/>
      <c r="H49" s="2951"/>
      <c r="I49" s="2978"/>
      <c r="J49" s="2948"/>
      <c r="K49" s="2055"/>
      <c r="L49" s="2056"/>
      <c r="P49" s="2949"/>
      <c r="Q49" s="2949"/>
      <c r="R49" s="1048"/>
      <c r="S49" s="1970"/>
      <c r="T49" s="979" t="s">
        <v>560</v>
      </c>
      <c r="U49" s="1059"/>
      <c r="V49" s="1059"/>
      <c r="W49" s="1292"/>
      <c r="X49" s="1292"/>
      <c r="Y49" s="1292"/>
      <c r="Z49" s="1292"/>
      <c r="AA49" s="1292"/>
      <c r="AB49" s="1292"/>
      <c r="AC49" s="1059"/>
      <c r="AD49" s="1059"/>
      <c r="AE49" s="1059"/>
      <c r="AF49" s="1059"/>
      <c r="AG49" s="1059"/>
      <c r="AH49" s="1292"/>
      <c r="AI49" s="1292"/>
      <c r="AJ49" s="1292"/>
      <c r="AK49" s="1292"/>
      <c r="AL49" s="1292"/>
      <c r="AM49" s="1059"/>
      <c r="AN49" s="1059"/>
      <c r="AO49" s="1059"/>
      <c r="AP49" s="1059"/>
      <c r="AQ49" s="1059"/>
      <c r="AR49" s="1059"/>
      <c r="AS49" s="1950" t="s">
        <v>561</v>
      </c>
      <c r="AU49" s="1192"/>
      <c r="AV49" s="1192" t="str">
        <f>IF(T49="","",T49)</f>
        <v>Добавить значение признака дифференциации</v>
      </c>
      <c r="AW49" s="1192"/>
      <c r="AX49" s="1192"/>
      <c r="AY49" s="1847">
        <v>20</v>
      </c>
    </row>
    <row customHeight="1" ht="22.049999999999997">
      <c r="A50" s="2055" t="s">
        <v>326</v>
      </c>
      <c r="B50" s="2055" t="s">
        <v>327</v>
      </c>
      <c r="C50" s="2055" t="s">
        <v>328</v>
      </c>
      <c r="D50" s="2055" t="s">
        <v>616</v>
      </c>
      <c r="E50" s="2951"/>
      <c r="F50" s="2951"/>
      <c r="G50" s="2951"/>
      <c r="H50" s="2951"/>
      <c r="I50" s="2948"/>
      <c r="J50" s="2055"/>
      <c r="K50" s="2055"/>
      <c r="L50" s="2056"/>
      <c r="P50" s="2949"/>
      <c r="Q50" s="2173"/>
      <c r="R50" s="1048"/>
      <c r="S50" s="1970"/>
      <c r="T50" s="1057" t="s">
        <v>487</v>
      </c>
      <c r="U50" s="1059"/>
      <c r="V50" s="1059"/>
      <c r="W50" s="1292"/>
      <c r="X50" s="1292"/>
      <c r="Y50" s="1292"/>
      <c r="Z50" s="1292"/>
      <c r="AA50" s="1292"/>
      <c r="AB50" s="1292"/>
      <c r="AC50" s="1059"/>
      <c r="AD50" s="1059"/>
      <c r="AE50" s="1059"/>
      <c r="AF50" s="1058"/>
      <c r="AG50" s="1059"/>
      <c r="AH50" s="1292"/>
      <c r="AI50" s="1292"/>
      <c r="AJ50" s="1292"/>
      <c r="AK50" s="1292"/>
      <c r="AL50" s="1292"/>
      <c r="AM50" s="1059"/>
      <c r="AN50" s="1059"/>
      <c r="AO50" s="1059"/>
      <c r="AP50" s="1059"/>
      <c r="AQ50" s="1058"/>
      <c r="AR50" s="1059"/>
      <c r="AS50" s="2132"/>
      <c r="AU50" s="1192"/>
      <c r="AV50" s="1192" t="str">
        <f>IF(T50="","",T50)</f>
        <v>Добавить группу потребителей</v>
      </c>
      <c r="AW50" s="1192"/>
      <c r="AX50" s="1192"/>
      <c r="AY50" s="1847">
        <v>21</v>
      </c>
    </row>
    <row customHeight="1" ht="22.049999999999997">
      <c r="A51" s="2055" t="s">
        <v>326</v>
      </c>
      <c r="B51" s="2055" t="s">
        <v>327</v>
      </c>
      <c r="C51" s="2055" t="s">
        <v>328</v>
      </c>
      <c r="D51" s="2055" t="s">
        <v>616</v>
      </c>
      <c r="E51" s="2951"/>
      <c r="F51" s="2951"/>
      <c r="G51" s="2951"/>
      <c r="H51" s="2950"/>
      <c r="I51" s="2055"/>
      <c r="J51" s="2055"/>
      <c r="K51" s="2055"/>
      <c r="L51" s="2056"/>
      <c r="M51" s="2057"/>
      <c r="N51" s="2057"/>
      <c r="O51" s="1229"/>
      <c r="P51" s="1052"/>
      <c r="Q51" s="1067"/>
      <c r="R51" s="1047"/>
      <c r="S51" s="1970"/>
      <c r="T51" s="1064" t="s">
        <v>562</v>
      </c>
      <c r="U51" s="1059"/>
      <c r="V51" s="1059"/>
      <c r="W51" s="1292"/>
      <c r="X51" s="1292"/>
      <c r="Y51" s="1292"/>
      <c r="Z51" s="1292"/>
      <c r="AA51" s="1292"/>
      <c r="AB51" s="1292"/>
      <c r="AC51" s="1059"/>
      <c r="AD51" s="1059"/>
      <c r="AE51" s="1059"/>
      <c r="AF51" s="1058"/>
      <c r="AG51" s="1059"/>
      <c r="AH51" s="1292"/>
      <c r="AI51" s="1292"/>
      <c r="AJ51" s="1292"/>
      <c r="AK51" s="1292"/>
      <c r="AL51" s="1292"/>
      <c r="AM51" s="1059"/>
      <c r="AN51" s="1059"/>
      <c r="AO51" s="1059"/>
      <c r="AP51" s="1059"/>
      <c r="AQ51" s="1058"/>
      <c r="AR51" s="1059"/>
      <c r="AS51" s="995"/>
      <c r="AU51" s="1192"/>
      <c r="AV51" s="1192" t="str">
        <f>IF(T51="","",T51)</f>
        <v>Добавить наименование признака дифференциации</v>
      </c>
      <c r="AW51" s="1192"/>
      <c r="AX51" s="1192"/>
      <c r="AY51" s="1847">
        <v>21</v>
      </c>
    </row>
    <row s="61695" customFormat="1" customHeight="1" ht="0">
      <c r="A52" s="2035" t="s">
        <v>326</v>
      </c>
      <c r="B52" s="2035" t="s">
        <v>327</v>
      </c>
      <c r="C52" s="2006"/>
      <c r="D52" s="2006"/>
      <c r="E52" s="2951"/>
      <c r="F52" s="2950"/>
      <c r="G52" s="2006"/>
      <c r="H52" s="2006"/>
      <c r="I52" s="2006"/>
      <c r="J52" s="2006"/>
      <c r="K52" s="2006"/>
      <c r="L52" s="2186"/>
      <c r="M52" s="2013"/>
      <c r="N52" s="2013"/>
      <c r="P52" s="2008"/>
      <c r="Q52" s="2009"/>
      <c r="R52" s="2008"/>
      <c r="S52" s="2014"/>
      <c r="T52" s="2017" t="s">
        <v>172</v>
      </c>
      <c r="U52" s="2016"/>
      <c r="V52" s="2016"/>
      <c r="W52" s="2016"/>
      <c r="X52" s="2016"/>
      <c r="Y52" s="2016"/>
      <c r="Z52" s="2016"/>
      <c r="AA52" s="2016"/>
      <c r="AB52" s="2016"/>
      <c r="AC52" s="2016"/>
      <c r="AD52" s="2016"/>
      <c r="AE52" s="2016"/>
      <c r="AF52" s="2016"/>
      <c r="AG52" s="2016"/>
      <c r="AH52" s="2016"/>
      <c r="AI52" s="2016"/>
      <c r="AJ52" s="2016"/>
      <c r="AK52" s="2016"/>
      <c r="AL52" s="2016"/>
      <c r="AM52" s="2016"/>
      <c r="AN52" s="2016"/>
      <c r="AO52" s="2016"/>
      <c r="AP52" s="2016"/>
      <c r="AQ52" s="2016"/>
      <c r="AR52" s="2016"/>
      <c r="AS52" s="2016"/>
      <c r="AU52" s="1481"/>
      <c r="AV52" s="1481" t="str">
        <f>IF(T52="","",T52)</f>
        <v>Добавить централизованную систему для дифференциации</v>
      </c>
      <c r="AW52" s="1481"/>
      <c r="AX52" s="1481"/>
      <c r="AY52" s="1210">
        <v>0</v>
      </c>
    </row>
    <row s="61695" customFormat="1" customHeight="1" ht="0">
      <c r="A53" s="2035" t="s">
        <v>326</v>
      </c>
      <c r="B53" s="2035"/>
      <c r="C53" s="2035"/>
      <c r="D53" s="2035"/>
      <c r="E53" s="2950"/>
      <c r="F53" s="2035"/>
      <c r="G53" s="2035"/>
      <c r="H53" s="2035"/>
      <c r="I53" s="2035"/>
      <c r="J53" s="2035"/>
      <c r="K53" s="2035"/>
      <c r="L53" s="2038"/>
      <c r="M53" s="2013"/>
      <c r="N53" s="2013"/>
      <c r="O53" s="1210"/>
      <c r="P53" s="1072"/>
      <c r="Q53" s="2036"/>
      <c r="R53" s="1072"/>
      <c r="S53" s="2014"/>
      <c r="T53" s="2017" t="s">
        <v>173</v>
      </c>
      <c r="U53" s="2016"/>
      <c r="V53" s="2016"/>
      <c r="W53" s="2016"/>
      <c r="X53" s="2016"/>
      <c r="Y53" s="2016"/>
      <c r="Z53" s="2016"/>
      <c r="AA53" s="2016"/>
      <c r="AB53" s="2016"/>
      <c r="AC53" s="2016"/>
      <c r="AD53" s="2016"/>
      <c r="AE53" s="2016"/>
      <c r="AF53" s="2016"/>
      <c r="AG53" s="2016"/>
      <c r="AH53" s="2016"/>
      <c r="AI53" s="2016"/>
      <c r="AJ53" s="2016"/>
      <c r="AK53" s="2016"/>
      <c r="AL53" s="2016"/>
      <c r="AM53" s="2016"/>
      <c r="AN53" s="2016"/>
      <c r="AO53" s="2016"/>
      <c r="AP53" s="2016"/>
      <c r="AQ53" s="2016"/>
      <c r="AR53" s="2016"/>
      <c r="AS53" s="2016"/>
      <c r="AU53" s="1192"/>
      <c r="AV53" s="1192" t="str">
        <f>IF(T53="","",T53)</f>
        <v>Добавить территорию для дифференциации</v>
      </c>
      <c r="AW53" s="1192"/>
      <c r="AX53" s="1192"/>
      <c r="AY53" s="1203">
        <v>0</v>
      </c>
    </row>
    <row s="61695" customFormat="1" customHeight="1" ht="0">
      <c r="A54" s="2006"/>
      <c r="B54" s="2006"/>
      <c r="C54" s="2006"/>
      <c r="D54" s="2006"/>
      <c r="E54" s="2035"/>
      <c r="F54" s="2006"/>
      <c r="G54" s="2006"/>
      <c r="H54" s="2006"/>
      <c r="I54" s="2006"/>
      <c r="J54" s="2006"/>
      <c r="K54" s="2006"/>
      <c r="L54" s="2186"/>
      <c r="M54" s="2013"/>
      <c r="N54" s="2013"/>
      <c r="P54" s="2008"/>
      <c r="Q54" s="2009"/>
      <c r="R54" s="2008"/>
      <c r="S54" s="2014"/>
      <c r="T54" s="2017" t="s">
        <v>186</v>
      </c>
      <c r="U54" s="2016"/>
      <c r="V54" s="2016"/>
      <c r="W54" s="2016"/>
      <c r="X54" s="2016"/>
      <c r="Y54" s="2016"/>
      <c r="Z54" s="2016"/>
      <c r="AA54" s="2016"/>
      <c r="AB54" s="2016"/>
      <c r="AC54" s="2016"/>
      <c r="AD54" s="2016"/>
      <c r="AE54" s="2016"/>
      <c r="AF54" s="2016"/>
      <c r="AG54" s="2016"/>
      <c r="AH54" s="2016"/>
      <c r="AI54" s="2016"/>
      <c r="AJ54" s="2016"/>
      <c r="AK54" s="2016"/>
      <c r="AL54" s="2016"/>
      <c r="AM54" s="2016"/>
      <c r="AN54" s="2016"/>
      <c r="AO54" s="2016"/>
      <c r="AP54" s="2016"/>
      <c r="AQ54" s="2016"/>
      <c r="AR54" s="2016"/>
      <c r="AS54" s="2016"/>
      <c r="AU54" s="1481"/>
      <c r="AV54" s="1481" t="str">
        <f>IF(T54="","",T54)</f>
        <v>Добавить наименование тарифа</v>
      </c>
      <c r="AW54" s="1481"/>
      <c r="AX54" s="1481"/>
      <c r="AY54" s="1210">
        <v>0</v>
      </c>
    </row>
    <row customHeight="1" ht="11.549999999999999">
      <c r="M55" s="1852"/>
      <c r="N55" s="1852"/>
      <c r="O55" s="1229"/>
      <c r="P55" s="1847"/>
      <c r="Q55" s="1847"/>
      <c r="R55" s="1847"/>
      <c r="S55" s="1847"/>
      <c r="AT55" s="1847"/>
      <c r="AU55" s="1847"/>
      <c r="AV55" s="1847"/>
      <c r="AW55" s="1847"/>
      <c r="AX55" s="1847"/>
      <c r="AY55" s="1847">
        <v>11</v>
      </c>
    </row>
    <row customHeight="1" ht="14.699999999999998">
      <c r="O56" s="1229"/>
      <c r="S56" s="1945"/>
      <c r="T56" s="2977"/>
      <c r="U56" s="2977"/>
      <c r="V56" s="2977"/>
      <c r="W56" s="2977"/>
      <c r="X56" s="2977"/>
      <c r="Y56" s="2977"/>
      <c r="Z56" s="2977"/>
      <c r="AA56" s="2977"/>
      <c r="AB56" s="2977"/>
      <c r="AC56" s="2977"/>
      <c r="AD56" s="2977"/>
      <c r="AE56" s="2977"/>
      <c r="AF56" s="2977"/>
      <c r="AG56" s="2977"/>
      <c r="AH56" s="2977"/>
      <c r="AI56" s="2977"/>
      <c r="AJ56" s="2977"/>
      <c r="AK56" s="2977"/>
      <c r="AL56" s="2977"/>
      <c r="AM56" s="2977"/>
      <c r="AN56" s="2977"/>
      <c r="AO56" s="2977"/>
      <c r="AP56" s="2977"/>
      <c r="AQ56" s="2977"/>
      <c r="AR56" s="2977"/>
      <c r="AS56" s="2977"/>
      <c r="AY56" s="1847">
        <v>14</v>
      </c>
    </row>
    <row customHeight="1" ht="14.699999999999998">
      <c r="O57" s="1229"/>
      <c r="AY57" s="1847">
        <v>14</v>
      </c>
    </row>
    <row customHeight="1" ht="14.699999999999998">
      <c r="O58" s="1229"/>
      <c r="S58" s="1945"/>
      <c r="T58" s="2977"/>
      <c r="U58" s="2977"/>
      <c r="V58" s="2977"/>
      <c r="W58" s="2977"/>
      <c r="X58" s="2977"/>
      <c r="Y58" s="2977"/>
      <c r="Z58" s="2977"/>
      <c r="AA58" s="2977"/>
      <c r="AB58" s="2977"/>
      <c r="AC58" s="2977"/>
      <c r="AD58" s="2977"/>
      <c r="AE58" s="2977"/>
      <c r="AF58" s="2977"/>
      <c r="AG58" s="2977"/>
      <c r="AH58" s="2977"/>
      <c r="AI58" s="2977"/>
      <c r="AJ58" s="2977"/>
      <c r="AK58" s="2977"/>
      <c r="AL58" s="2977"/>
      <c r="AM58" s="2977"/>
      <c r="AN58" s="2977"/>
      <c r="AO58" s="2977"/>
      <c r="AP58" s="2977"/>
      <c r="AQ58" s="2977"/>
      <c r="AR58" s="2977"/>
      <c r="AS58" s="2977"/>
      <c r="AY58" s="1847">
        <v>14</v>
      </c>
    </row>
    <row customHeight="1" ht="22.5" hidden="1">
      <c r="A59" s="1852" t="s">
        <v>83</v>
      </c>
      <c r="B59" s="1852">
        <v>0</v>
      </c>
      <c r="C59" s="1852">
        <v>0</v>
      </c>
      <c r="D59" s="1852">
        <v>0</v>
      </c>
      <c r="E59" s="1852">
        <v>0</v>
      </c>
      <c r="F59" s="1852">
        <v>0</v>
      </c>
      <c r="G59" s="1852">
        <v>0</v>
      </c>
      <c r="H59" s="1852">
        <v>0</v>
      </c>
      <c r="I59" s="1852">
        <v>0</v>
      </c>
      <c r="J59" s="1852">
        <v>0</v>
      </c>
      <c r="K59" s="1852">
        <v>0</v>
      </c>
      <c r="L59" s="2170">
        <v>0</v>
      </c>
      <c r="M59" s="2054">
        <v>0</v>
      </c>
      <c r="N59" s="2054">
        <v>0</v>
      </c>
      <c r="O59" s="2054">
        <v>0</v>
      </c>
      <c r="P59" s="2165">
        <v>3</v>
      </c>
      <c r="Q59" s="1036">
        <v>3</v>
      </c>
      <c r="R59" s="1036">
        <v>3</v>
      </c>
      <c r="S59" s="1273">
        <v>12</v>
      </c>
      <c r="T59" s="1847">
        <v>35</v>
      </c>
      <c r="U59" s="1847">
        <v>0</v>
      </c>
      <c r="V59" s="1847">
        <v>0</v>
      </c>
      <c r="W59" s="2323">
        <v>0</v>
      </c>
      <c r="X59" s="2323">
        <v>0</v>
      </c>
      <c r="Y59" s="2323">
        <v>0</v>
      </c>
      <c r="Z59" s="2323">
        <v>0</v>
      </c>
      <c r="AA59" s="2323">
        <v>0</v>
      </c>
      <c r="AB59" s="2323">
        <v>0</v>
      </c>
      <c r="AC59" s="1847">
        <v>0</v>
      </c>
      <c r="AD59" s="1847">
        <v>0</v>
      </c>
      <c r="AE59" s="1847">
        <v>0</v>
      </c>
      <c r="AF59" s="1847">
        <v>0</v>
      </c>
      <c r="AG59" s="1847">
        <v>19</v>
      </c>
      <c r="AH59" s="2323">
        <v>19</v>
      </c>
      <c r="AI59" s="2323">
        <v>19</v>
      </c>
      <c r="AJ59" s="2323">
        <v>19</v>
      </c>
      <c r="AK59" s="2323">
        <v>19</v>
      </c>
      <c r="AL59" s="2323">
        <v>19</v>
      </c>
      <c r="AM59" s="1847">
        <v>19</v>
      </c>
      <c r="AN59" s="1847">
        <v>11</v>
      </c>
      <c r="AO59" s="1847">
        <v>3</v>
      </c>
      <c r="AP59" s="1847">
        <v>11</v>
      </c>
      <c r="AQ59" s="1847">
        <v>0</v>
      </c>
      <c r="AR59" s="1847">
        <v>4</v>
      </c>
      <c r="AS59" s="1847">
        <v>115</v>
      </c>
      <c r="AT59" s="1203">
        <v>10</v>
      </c>
      <c r="AU59" s="1203">
        <v>10</v>
      </c>
      <c r="AV59" s="1203">
        <v>10</v>
      </c>
      <c r="AW59" s="1203">
        <v>10</v>
      </c>
      <c r="AX59" s="1203">
        <v>10</v>
      </c>
      <c r="AY59" s="1847">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02A797-2C2E-653E-A497-D8979997B847}"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4.140625" hidden="1" customWidth="1"/>
    <col min="10" max="10" style="62148" width="9.8515625" hidden="1" customWidth="1"/>
    <col min="11" max="11" style="62148" width="14.7109375" hidden="1" customWidth="1"/>
    <col min="12" max="12" style="63164" width="19.140625" hidden="1" customWidth="1"/>
    <col min="13" max="14" style="61371" width="12.28125" hidden="1" customWidth="1"/>
    <col min="15" max="15" style="61371" width="23.421875" hidden="1" customWidth="1"/>
    <col min="16" max="16" style="63184" width="3.00390625" customWidth="1"/>
    <col min="17" max="18" style="62288" width="3.00390625" customWidth="1"/>
    <col min="19" max="19" style="63156" width="12.00390625" customWidth="1"/>
    <col min="20" max="20" style="62286" width="35.00390625" customWidth="1"/>
    <col min="21" max="21" style="62286" width="0.140625" customWidth="1"/>
    <col min="22" max="28" style="62286" width="19.7109375" hidden="1" customWidth="1"/>
    <col min="29" max="29" style="62286" width="11.7109375" hidden="1" customWidth="1"/>
    <col min="30" max="30" style="62286" width="3.7109375" hidden="1" customWidth="1"/>
    <col min="31" max="31" style="62286" width="11.7109375" hidden="1" customWidth="1"/>
    <col min="32" max="32" style="62286" width="8.57421875" hidden="1" customWidth="1"/>
    <col min="33" max="33" style="62286" width="19.7109375" customWidth="1"/>
    <col min="34" max="39" style="62286" width="19.00390625" customWidth="1"/>
    <col min="40" max="40" style="62286" width="11.00390625" customWidth="1"/>
    <col min="41" max="41" style="62286" width="3.7109375" customWidth="1"/>
    <col min="42" max="42" style="62286" width="11.00390625" customWidth="1"/>
    <col min="43" max="43" style="62286" width="8.57421875" hidden="1" customWidth="1"/>
    <col min="44" max="44" style="62286" width="4.00390625" customWidth="1"/>
    <col min="45" max="45" style="62286" width="115.00390625" customWidth="1"/>
    <col min="46" max="50" style="61695" width="10.00390625" customWidth="1"/>
    <col min="51" max="51" style="62286" width="10.57421875" hidden="1"/>
  </cols>
  <sheetData>
    <row customHeight="1" ht="22.5" hidden="1">
      <c r="AB1" s="1019"/>
      <c r="AC1" s="1019"/>
      <c r="AM1" s="1019"/>
      <c r="AN1" s="1019"/>
      <c r="AY1" s="1847" t="s">
        <v>14</v>
      </c>
    </row>
    <row customHeight="1" ht="23.25" hidden="1">
      <c r="A2" s="2055"/>
      <c r="B2" s="2055"/>
      <c r="C2" s="2055"/>
      <c r="D2" s="2055"/>
      <c r="E2" s="2950">
        <v>1</v>
      </c>
      <c r="F2" s="2055"/>
      <c r="G2" s="2055"/>
      <c r="H2" s="2055"/>
      <c r="I2" s="2055"/>
      <c r="J2" s="2055"/>
      <c r="K2" s="2055"/>
      <c r="L2" s="2056"/>
      <c r="M2" s="2057"/>
      <c r="N2" s="2057"/>
      <c r="O2" s="2057"/>
      <c r="P2" s="1053"/>
      <c r="Q2" s="1052"/>
      <c r="R2" s="1047"/>
      <c r="S2" s="2185">
        <f>INDEX(PT_DIFFERENTIATION_NUM_NTAR,MATCH(A2,PT_DIFFERENTIATION_NTAR_ID,0))</f>
      </c>
      <c r="T2" s="990" t="s">
        <v>131</v>
      </c>
      <c r="U2" s="992"/>
      <c r="V2" s="2934"/>
      <c r="W2" s="2935"/>
      <c r="X2" s="2935"/>
      <c r="Y2" s="2935"/>
      <c r="Z2" s="2935"/>
      <c r="AA2" s="2935"/>
      <c r="AB2" s="2935"/>
      <c r="AC2" s="2935"/>
      <c r="AD2" s="2935"/>
      <c r="AE2" s="2935"/>
      <c r="AF2" s="2936"/>
      <c r="AG2" s="2934">
        <f>INDEX(PT_DIFFERENTIATION_NTAR,MATCH(A2,PT_DIFFERENTIATION_NTAR_ID,0))</f>
      </c>
      <c r="AH2" s="2935"/>
      <c r="AI2" s="2935"/>
      <c r="AJ2" s="2935"/>
      <c r="AK2" s="2935"/>
      <c r="AL2" s="2935"/>
      <c r="AM2" s="2935"/>
      <c r="AN2" s="2935"/>
      <c r="AO2" s="2935"/>
      <c r="AP2" s="2935"/>
      <c r="AQ2" s="2935"/>
      <c r="AR2" s="2936"/>
      <c r="AS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192"/>
      <c r="AV2" s="1192" t="str">
        <f>IF(T2="","",T2)</f>
        <v>Наименование тарифа</v>
      </c>
      <c r="AW2" s="1192"/>
      <c r="AX2" s="1192"/>
      <c r="AY2" s="1847">
        <v>0</v>
      </c>
    </row>
    <row customHeight="1" ht="23.25" hidden="1">
      <c r="A3" s="2055"/>
      <c r="B3" s="2055"/>
      <c r="C3" s="2055"/>
      <c r="D3" s="2055"/>
      <c r="E3" s="2951"/>
      <c r="F3" s="2950">
        <v>1</v>
      </c>
      <c r="G3" s="2055"/>
      <c r="H3" s="2055"/>
      <c r="I3" s="2055"/>
      <c r="J3" s="2055"/>
      <c r="K3" s="2055"/>
      <c r="L3" s="2056"/>
      <c r="M3" s="2057"/>
      <c r="N3" s="2057"/>
      <c r="O3" s="2057"/>
      <c r="P3" s="2179"/>
      <c r="Q3" s="1044"/>
      <c r="R3" s="1045"/>
      <c r="S3" s="2185">
        <f>INDEX(PT_DIFFERENTIATION_NUM_TER,MATCH(B3,PT_DIFFERENTIATION_TER_ID,0))</f>
      </c>
      <c r="T3" s="1000" t="s">
        <v>472</v>
      </c>
      <c r="U3" s="992"/>
      <c r="V3" s="2934"/>
      <c r="W3" s="2935"/>
      <c r="X3" s="2935"/>
      <c r="Y3" s="2935"/>
      <c r="Z3" s="2935"/>
      <c r="AA3" s="2935"/>
      <c r="AB3" s="2935"/>
      <c r="AC3" s="2935"/>
      <c r="AD3" s="2935"/>
      <c r="AE3" s="2935"/>
      <c r="AF3" s="2936"/>
      <c r="AG3" s="2934">
        <f>INDEX(PT_DIFFERENTIATION_TER,MATCH(B3,PT_DIFFERENTIATION_TER_ID,0))</f>
      </c>
      <c r="AH3" s="2935"/>
      <c r="AI3" s="2935"/>
      <c r="AJ3" s="2935"/>
      <c r="AK3" s="2935"/>
      <c r="AL3" s="2935"/>
      <c r="AM3" s="2935"/>
      <c r="AN3" s="2935"/>
      <c r="AO3" s="2935"/>
      <c r="AP3" s="2935"/>
      <c r="AQ3" s="2935"/>
      <c r="AR3" s="2936"/>
      <c r="AS3" s="1950" t="s">
        <v>473</v>
      </c>
      <c r="AU3" s="1192"/>
      <c r="AV3" s="1192" t="str">
        <f>IF(T3="","",T3)</f>
        <v>Территория действия тарифа</v>
      </c>
      <c r="AW3" s="1192"/>
      <c r="AX3" s="1192"/>
      <c r="AY3" s="1847">
        <v>0</v>
      </c>
    </row>
    <row customHeight="1" ht="23.25" hidden="1">
      <c r="A4" s="2055"/>
      <c r="B4" s="2055"/>
      <c r="C4" s="2055"/>
      <c r="D4" s="2055"/>
      <c r="E4" s="2951"/>
      <c r="F4" s="2951"/>
      <c r="G4" s="2950">
        <v>1</v>
      </c>
      <c r="H4" s="2055"/>
      <c r="I4" s="2055"/>
      <c r="J4" s="2055"/>
      <c r="K4" s="2055"/>
      <c r="L4" s="2056"/>
      <c r="M4" s="2057"/>
      <c r="N4" s="2057"/>
      <c r="O4" s="2057"/>
      <c r="P4" s="1046"/>
      <c r="Q4" s="1044"/>
      <c r="R4" s="1045"/>
      <c r="S4" s="2185">
        <f>INDEX(PT_DIFFERENTIATION_NUM_CS,MATCH(C4,PT_DIFFERENTIATION_CS_ID,0))</f>
      </c>
      <c r="T4" s="1001" t="s">
        <v>604</v>
      </c>
      <c r="U4" s="992"/>
      <c r="V4" s="2934"/>
      <c r="W4" s="2935"/>
      <c r="X4" s="2935"/>
      <c r="Y4" s="2935"/>
      <c r="Z4" s="2935"/>
      <c r="AA4" s="2935"/>
      <c r="AB4" s="2935"/>
      <c r="AC4" s="2935"/>
      <c r="AD4" s="2935"/>
      <c r="AE4" s="2935"/>
      <c r="AF4" s="2936"/>
      <c r="AG4" s="2934">
        <f>INDEX(PT_DIFFERENTIATION_CS,MATCH(C4,PT_DIFFERENTIATION_CS_ID,0))</f>
      </c>
      <c r="AH4" s="2935"/>
      <c r="AI4" s="2935"/>
      <c r="AJ4" s="2935"/>
      <c r="AK4" s="2935"/>
      <c r="AL4" s="2935"/>
      <c r="AM4" s="2935"/>
      <c r="AN4" s="2935"/>
      <c r="AO4" s="2935"/>
      <c r="AP4" s="2935"/>
      <c r="AQ4" s="2935"/>
      <c r="AR4" s="2936"/>
      <c r="AS4" s="1950" t="s">
        <v>605</v>
      </c>
      <c r="AU4" s="1192"/>
      <c r="AV4" s="1192" t="str">
        <f>IF(T4="","",T4)</f>
        <v>Наименование централизованной системы горячего водоснабжения</v>
      </c>
      <c r="AW4" s="1192"/>
      <c r="AX4" s="1192"/>
      <c r="AY4" s="1847">
        <v>0</v>
      </c>
    </row>
    <row customHeight="1" ht="23.25" hidden="1">
      <c r="A5" s="2055"/>
      <c r="B5" s="2055"/>
      <c r="C5" s="2055"/>
      <c r="D5" s="2055"/>
      <c r="E5" s="2951"/>
      <c r="F5" s="2951"/>
      <c r="G5" s="2951"/>
      <c r="H5" s="2951"/>
      <c r="I5" s="2948">
        <f>S4&amp;".1"</f>
      </c>
      <c r="J5" s="2055"/>
      <c r="K5" s="2055"/>
      <c r="L5" s="2056"/>
      <c r="P5" s="2949">
        <v>1</v>
      </c>
      <c r="Q5" s="2173"/>
      <c r="R5" s="1048"/>
      <c r="S5" s="2185">
        <f>$I5</f>
      </c>
      <c r="T5" s="977" t="s">
        <v>557</v>
      </c>
      <c r="U5" s="992"/>
      <c r="V5" s="3042"/>
      <c r="W5" s="3043"/>
      <c r="X5" s="3043"/>
      <c r="Y5" s="3043"/>
      <c r="Z5" s="3043"/>
      <c r="AA5" s="3043"/>
      <c r="AB5" s="3043"/>
      <c r="AC5" s="3043"/>
      <c r="AD5" s="3043"/>
      <c r="AE5" s="3043"/>
      <c r="AF5" s="3044"/>
      <c r="AG5" s="3045"/>
      <c r="AH5" s="3046"/>
      <c r="AI5" s="3046"/>
      <c r="AJ5" s="3046"/>
      <c r="AK5" s="3046"/>
      <c r="AL5" s="3046"/>
      <c r="AM5" s="3046"/>
      <c r="AN5" s="3046"/>
      <c r="AO5" s="3046"/>
      <c r="AP5" s="3046"/>
      <c r="AQ5" s="3046"/>
      <c r="AR5" s="3047"/>
      <c r="AS5" s="1950" t="s">
        <v>558</v>
      </c>
      <c r="AU5" s="1192"/>
      <c r="AV5" s="1192" t="str">
        <f>IF(T5="","",T5)</f>
        <v>Наименование признака дифференциации</v>
      </c>
      <c r="AW5" s="1192"/>
      <c r="AX5" s="1192"/>
      <c r="AY5" s="1847">
        <v>0</v>
      </c>
    </row>
    <row customHeight="1" ht="23.25" hidden="1">
      <c r="A6" s="2055"/>
      <c r="B6" s="2055"/>
      <c r="C6" s="2055"/>
      <c r="D6" s="2055"/>
      <c r="E6" s="2951"/>
      <c r="F6" s="2951"/>
      <c r="G6" s="2951"/>
      <c r="H6" s="2951"/>
      <c r="I6" s="2978"/>
      <c r="J6" s="2948">
        <f>I5&amp;".1"</f>
      </c>
      <c r="K6" s="2055"/>
      <c r="L6" s="2056" t="s">
        <v>481</v>
      </c>
      <c r="P6" s="2949"/>
      <c r="Q6" s="2949">
        <v>1</v>
      </c>
      <c r="R6" s="1049"/>
      <c r="S6" s="2185">
        <f>$J6</f>
      </c>
      <c r="T6" s="978" t="s">
        <v>482</v>
      </c>
      <c r="U6" s="992"/>
      <c r="V6" s="2937"/>
      <c r="W6" s="2938"/>
      <c r="X6" s="2938"/>
      <c r="Y6" s="2938"/>
      <c r="Z6" s="2938"/>
      <c r="AA6" s="2938"/>
      <c r="AB6" s="2938"/>
      <c r="AC6" s="2938"/>
      <c r="AD6" s="2938"/>
      <c r="AE6" s="2938"/>
      <c r="AF6" s="2939"/>
      <c r="AG6" s="2937"/>
      <c r="AH6" s="2938"/>
      <c r="AI6" s="2938"/>
      <c r="AJ6" s="2938"/>
      <c r="AK6" s="2938"/>
      <c r="AL6" s="2938"/>
      <c r="AM6" s="2938"/>
      <c r="AN6" s="2938"/>
      <c r="AO6" s="2938"/>
      <c r="AP6" s="2938"/>
      <c r="AQ6" s="2938"/>
      <c r="AR6" s="2939"/>
      <c r="AS6" s="1999" t="s">
        <v>559</v>
      </c>
      <c r="AU6" s="1192"/>
      <c r="AV6" s="1192" t="str">
        <f>IF(T6="","",T6)</f>
        <v>Группа потребителей</v>
      </c>
      <c r="AW6" s="1192"/>
      <c r="AX6" s="1192"/>
      <c r="AY6" s="1847">
        <v>0</v>
      </c>
    </row>
    <row customHeight="1" ht="23.25" hidden="1">
      <c r="A7" s="2055"/>
      <c r="B7" s="2055"/>
      <c r="C7" s="2055"/>
      <c r="D7" s="2055"/>
      <c r="E7" s="2951"/>
      <c r="F7" s="2951"/>
      <c r="G7" s="2951"/>
      <c r="H7" s="2951"/>
      <c r="I7" s="2978"/>
      <c r="J7" s="2978"/>
      <c r="K7" s="2948">
        <f>J6&amp;".1"</f>
      </c>
      <c r="L7" s="2056"/>
      <c r="P7" s="2949"/>
      <c r="Q7" s="2949"/>
      <c r="R7" s="1049">
        <v>1</v>
      </c>
      <c r="S7" s="2185">
        <f>$K7</f>
      </c>
      <c r="T7" s="2129"/>
      <c r="U7" s="992"/>
      <c r="V7" s="1443"/>
      <c r="W7" s="1443"/>
      <c r="X7" s="1443"/>
      <c r="Y7" s="1443"/>
      <c r="Z7" s="1443"/>
      <c r="AA7" s="1443"/>
      <c r="AB7" s="1949"/>
      <c r="AC7" s="2957"/>
      <c r="AD7" s="2799" t="s">
        <v>67</v>
      </c>
      <c r="AE7" s="2957"/>
      <c r="AF7" s="2799" t="s">
        <v>67</v>
      </c>
      <c r="AG7" s="1443"/>
      <c r="AH7" s="1443"/>
      <c r="AI7" s="1443"/>
      <c r="AJ7" s="1443"/>
      <c r="AK7" s="1443"/>
      <c r="AL7" s="1443"/>
      <c r="AM7" s="1949"/>
      <c r="AN7" s="2957"/>
      <c r="AO7" s="2799" t="s">
        <v>67</v>
      </c>
      <c r="AP7" s="2979"/>
      <c r="AQ7" s="2799" t="s">
        <v>67</v>
      </c>
      <c r="AR7" s="2130"/>
      <c r="AS7"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203">
        <f>STRCHECKDATE(V8:AR8)</f>
      </c>
      <c r="AU7" s="1192"/>
      <c r="AV7" s="1192" t="str">
        <f>IF(T7="","",T7)</f>
        <v/>
      </c>
      <c r="AW7" s="1192"/>
      <c r="AX7" s="1192"/>
      <c r="AY7" s="1847">
        <v>0</v>
      </c>
    </row>
    <row customHeight="1" ht="14.25" hidden="1">
      <c r="A8" s="2055"/>
      <c r="B8" s="2055"/>
      <c r="C8" s="2055"/>
      <c r="D8" s="2055"/>
      <c r="E8" s="2951"/>
      <c r="F8" s="2951"/>
      <c r="G8" s="2951"/>
      <c r="H8" s="2951"/>
      <c r="I8" s="2978"/>
      <c r="J8" s="2978"/>
      <c r="K8" s="2948"/>
      <c r="L8" s="2056"/>
      <c r="P8" s="2949"/>
      <c r="Q8" s="2949"/>
      <c r="R8" s="1049"/>
      <c r="S8" s="2182"/>
      <c r="T8" s="992"/>
      <c r="U8" s="992"/>
      <c r="V8" s="1017"/>
      <c r="W8" s="1017"/>
      <c r="X8" s="1017"/>
      <c r="Y8" s="1017"/>
      <c r="Z8" s="1017"/>
      <c r="AA8" s="1017"/>
      <c r="AB8" s="1020" t="str">
        <f>AC7&amp;"-"&amp;AE7</f>
        <v>-</v>
      </c>
      <c r="AC8" s="2958"/>
      <c r="AD8" s="2799"/>
      <c r="AE8" s="2958"/>
      <c r="AF8" s="2799"/>
      <c r="AG8" s="1017"/>
      <c r="AH8" s="1017"/>
      <c r="AI8" s="1017"/>
      <c r="AJ8" s="1017"/>
      <c r="AK8" s="1017"/>
      <c r="AL8" s="1017"/>
      <c r="AM8" s="1020" t="str">
        <f>AN7&amp;"-"&amp;AP7</f>
        <v>-</v>
      </c>
      <c r="AN8" s="2958"/>
      <c r="AO8" s="2799"/>
      <c r="AP8" s="2980"/>
      <c r="AQ8" s="2799"/>
      <c r="AR8" s="2131"/>
      <c r="AS8" s="3041"/>
      <c r="AU8" s="1192"/>
      <c r="AV8" s="1192" t="str">
        <f>IF(T8="","",T8)</f>
        <v/>
      </c>
      <c r="AW8" s="1192"/>
      <c r="AX8" s="1192"/>
      <c r="AY8" s="1847">
        <v>0</v>
      </c>
    </row>
    <row customHeight="1" ht="21" hidden="1">
      <c r="A9" s="2055"/>
      <c r="B9" s="2055"/>
      <c r="C9" s="2055"/>
      <c r="D9" s="2055"/>
      <c r="E9" s="2951"/>
      <c r="F9" s="2951"/>
      <c r="G9" s="2951"/>
      <c r="H9" s="2951"/>
      <c r="I9" s="2978"/>
      <c r="J9" s="2948"/>
      <c r="K9" s="2055"/>
      <c r="L9" s="2056"/>
      <c r="P9" s="2949"/>
      <c r="Q9" s="2949"/>
      <c r="R9" s="1048"/>
      <c r="S9" s="1970"/>
      <c r="T9" s="979" t="s">
        <v>560</v>
      </c>
      <c r="U9" s="1059"/>
      <c r="V9" s="1059"/>
      <c r="W9" s="1292"/>
      <c r="X9" s="1292"/>
      <c r="Y9" s="1292"/>
      <c r="Z9" s="1292"/>
      <c r="AA9" s="1292"/>
      <c r="AB9" s="1059"/>
      <c r="AC9" s="1059"/>
      <c r="AD9" s="1059"/>
      <c r="AE9" s="1059"/>
      <c r="AF9" s="1059"/>
      <c r="AG9" s="1059"/>
      <c r="AH9" s="1292"/>
      <c r="AI9" s="1292"/>
      <c r="AJ9" s="1292"/>
      <c r="AK9" s="1292"/>
      <c r="AL9" s="1292"/>
      <c r="AM9" s="1059"/>
      <c r="AN9" s="1059"/>
      <c r="AO9" s="1059"/>
      <c r="AP9" s="1059"/>
      <c r="AQ9" s="1059"/>
      <c r="AR9" s="1059"/>
      <c r="AS9" s="1950" t="s">
        <v>561</v>
      </c>
      <c r="AU9" s="1192"/>
      <c r="AV9" s="1192" t="str">
        <f>IF(T9="","",T9)</f>
        <v>Добавить значение признака дифференциации</v>
      </c>
      <c r="AW9" s="1192"/>
      <c r="AX9" s="1192"/>
      <c r="AY9" s="1847">
        <v>0</v>
      </c>
    </row>
    <row customHeight="1" ht="21" hidden="1">
      <c r="A10" s="2055"/>
      <c r="B10" s="2055"/>
      <c r="C10" s="2055"/>
      <c r="D10" s="2055"/>
      <c r="E10" s="2951"/>
      <c r="F10" s="2951"/>
      <c r="G10" s="2951"/>
      <c r="H10" s="2951"/>
      <c r="I10" s="2948"/>
      <c r="J10" s="2055"/>
      <c r="K10" s="2055"/>
      <c r="L10" s="2056"/>
      <c r="P10" s="2949"/>
      <c r="Q10" s="2173"/>
      <c r="R10" s="1048"/>
      <c r="S10" s="1970"/>
      <c r="T10" s="1057" t="s">
        <v>487</v>
      </c>
      <c r="U10" s="1059"/>
      <c r="V10" s="1059"/>
      <c r="W10" s="1292"/>
      <c r="X10" s="1292"/>
      <c r="Y10" s="1292"/>
      <c r="Z10" s="1292"/>
      <c r="AA10" s="1292"/>
      <c r="AB10" s="1059"/>
      <c r="AC10" s="1059"/>
      <c r="AD10" s="1059"/>
      <c r="AE10" s="1059"/>
      <c r="AF10" s="1058"/>
      <c r="AG10" s="1059"/>
      <c r="AH10" s="1292"/>
      <c r="AI10" s="1292"/>
      <c r="AJ10" s="1292"/>
      <c r="AK10" s="1292"/>
      <c r="AL10" s="1292"/>
      <c r="AM10" s="1059"/>
      <c r="AN10" s="1059"/>
      <c r="AO10" s="1059"/>
      <c r="AP10" s="1059"/>
      <c r="AQ10" s="1058"/>
      <c r="AR10" s="1059"/>
      <c r="AS10" s="2132"/>
      <c r="AU10" s="1192"/>
      <c r="AV10" s="1192" t="str">
        <f>IF(T10="","",T10)</f>
        <v>Добавить группу потребителей</v>
      </c>
      <c r="AW10" s="1192"/>
      <c r="AX10" s="1192"/>
      <c r="AY10" s="1847">
        <v>0</v>
      </c>
    </row>
    <row customHeight="1" ht="21" hidden="1">
      <c r="A11" s="2055"/>
      <c r="B11" s="2055"/>
      <c r="C11" s="2055"/>
      <c r="D11" s="2055"/>
      <c r="E11" s="2951"/>
      <c r="F11" s="2951"/>
      <c r="G11" s="2951"/>
      <c r="H11" s="2950"/>
      <c r="I11" s="2055"/>
      <c r="J11" s="2055"/>
      <c r="K11" s="2055"/>
      <c r="L11" s="2056"/>
      <c r="M11" s="2057"/>
      <c r="N11" s="2057"/>
      <c r="O11" s="1229"/>
      <c r="P11" s="1052"/>
      <c r="Q11" s="1067"/>
      <c r="R11" s="1047"/>
      <c r="S11" s="1970"/>
      <c r="T11" s="1064" t="s">
        <v>562</v>
      </c>
      <c r="U11" s="1059"/>
      <c r="V11" s="1059"/>
      <c r="W11" s="1292"/>
      <c r="X11" s="1292"/>
      <c r="Y11" s="1292"/>
      <c r="Z11" s="1292"/>
      <c r="AA11" s="1292"/>
      <c r="AB11" s="1059"/>
      <c r="AC11" s="1059"/>
      <c r="AD11" s="1059"/>
      <c r="AE11" s="1059"/>
      <c r="AF11" s="1058"/>
      <c r="AG11" s="1059"/>
      <c r="AH11" s="1292"/>
      <c r="AI11" s="1292"/>
      <c r="AJ11" s="1292"/>
      <c r="AK11" s="1292"/>
      <c r="AL11" s="1292"/>
      <c r="AM11" s="1059"/>
      <c r="AN11" s="1059"/>
      <c r="AO11" s="1059"/>
      <c r="AP11" s="1059"/>
      <c r="AQ11" s="1058"/>
      <c r="AR11" s="1059"/>
      <c r="AS11" s="995"/>
      <c r="AU11" s="1192"/>
      <c r="AV11" s="1192" t="str">
        <f>IF(T11="","",T11)</f>
        <v>Добавить наименование признака дифференциации</v>
      </c>
      <c r="AW11" s="1192"/>
      <c r="AX11" s="1192"/>
      <c r="AY11" s="1847">
        <v>0</v>
      </c>
    </row>
    <row s="61695" customFormat="1" customHeight="1" ht="14.25" hidden="1">
      <c r="A12" s="2035"/>
      <c r="B12" s="2035"/>
      <c r="C12" s="2006"/>
      <c r="D12" s="2006"/>
      <c r="E12" s="2951"/>
      <c r="F12" s="2950"/>
      <c r="G12" s="2006"/>
      <c r="H12" s="2006"/>
      <c r="I12" s="2006"/>
      <c r="J12" s="2006"/>
      <c r="K12" s="2006"/>
      <c r="L12" s="2186"/>
      <c r="M12" s="2013"/>
      <c r="N12" s="2013"/>
      <c r="P12" s="2008"/>
      <c r="Q12" s="2009"/>
      <c r="R12" s="2008"/>
      <c r="S12" s="2014"/>
      <c r="T12" s="2017" t="s">
        <v>172</v>
      </c>
      <c r="U12" s="2016"/>
      <c r="V12" s="2016"/>
      <c r="W12" s="2016"/>
      <c r="X12" s="2016"/>
      <c r="Y12" s="2016"/>
      <c r="Z12" s="2016"/>
      <c r="AA12" s="2016"/>
      <c r="AB12" s="2016"/>
      <c r="AC12" s="2016"/>
      <c r="AD12" s="2016"/>
      <c r="AE12" s="2016"/>
      <c r="AF12" s="2016"/>
      <c r="AG12" s="2016"/>
      <c r="AH12" s="2016"/>
      <c r="AI12" s="2016"/>
      <c r="AJ12" s="2016"/>
      <c r="AK12" s="2016"/>
      <c r="AL12" s="2016"/>
      <c r="AM12" s="2016"/>
      <c r="AN12" s="2016"/>
      <c r="AO12" s="2016"/>
      <c r="AP12" s="2016"/>
      <c r="AQ12" s="2016"/>
      <c r="AR12" s="2016"/>
      <c r="AS12" s="2016"/>
      <c r="AU12" s="1481"/>
      <c r="AV12" s="1481" t="str">
        <f>IF(T12="","",T12)</f>
        <v>Добавить централизованную систему для дифференциации</v>
      </c>
      <c r="AW12" s="1481"/>
      <c r="AX12" s="1481"/>
      <c r="AY12" s="1210">
        <v>0</v>
      </c>
    </row>
    <row s="61695" customFormat="1" customHeight="1" ht="14.25" hidden="1">
      <c r="A13" s="2035"/>
      <c r="B13" s="2035"/>
      <c r="C13" s="2035"/>
      <c r="D13" s="2035"/>
      <c r="E13" s="2950"/>
      <c r="F13" s="2035"/>
      <c r="G13" s="2035"/>
      <c r="H13" s="2035"/>
      <c r="I13" s="2035"/>
      <c r="J13" s="2035"/>
      <c r="K13" s="2035"/>
      <c r="L13" s="2038"/>
      <c r="M13" s="2013"/>
      <c r="N13" s="2013"/>
      <c r="O13" s="1210"/>
      <c r="P13" s="1072"/>
      <c r="Q13" s="2036"/>
      <c r="R13" s="1072"/>
      <c r="S13" s="2014"/>
      <c r="T13" s="2017" t="s">
        <v>173</v>
      </c>
      <c r="U13" s="2016"/>
      <c r="V13" s="2016"/>
      <c r="W13" s="2016"/>
      <c r="X13" s="2016"/>
      <c r="Y13" s="2016"/>
      <c r="Z13" s="2016"/>
      <c r="AA13" s="2016"/>
      <c r="AB13" s="2016"/>
      <c r="AC13" s="2016"/>
      <c r="AD13" s="2016"/>
      <c r="AE13" s="2016"/>
      <c r="AF13" s="2016"/>
      <c r="AG13" s="2016"/>
      <c r="AH13" s="2016"/>
      <c r="AI13" s="2016"/>
      <c r="AJ13" s="2016"/>
      <c r="AK13" s="2016"/>
      <c r="AL13" s="2016"/>
      <c r="AM13" s="2016"/>
      <c r="AN13" s="2016"/>
      <c r="AO13" s="2016"/>
      <c r="AP13" s="2016"/>
      <c r="AQ13" s="2016"/>
      <c r="AR13" s="2016"/>
      <c r="AS13" s="2016"/>
      <c r="AU13" s="1192"/>
      <c r="AV13" s="1192" t="str">
        <f>IF(T13="","",T13)</f>
        <v>Добавить территорию для дифференциации</v>
      </c>
      <c r="AW13" s="1192"/>
      <c r="AX13" s="1192"/>
      <c r="AY13" s="1203">
        <v>0</v>
      </c>
    </row>
    <row customHeight="1" ht="14.25" hidden="1">
      <c r="AF14" s="1019"/>
      <c r="AQ14" s="1019"/>
      <c r="AY14" s="1847">
        <v>0</v>
      </c>
    </row>
    <row customHeight="1" ht="14.25" hidden="1">
      <c r="AG15" s="2052"/>
      <c r="AH15" s="2052"/>
      <c r="AI15" s="2052"/>
      <c r="AJ15" s="2052"/>
      <c r="AK15" s="2052"/>
      <c r="AL15" s="2052"/>
      <c r="AM15" s="2053"/>
      <c r="AN15" s="2959"/>
      <c r="AO15" s="2960" t="s">
        <v>67</v>
      </c>
      <c r="AP15" s="2959"/>
      <c r="AQ15" s="2960" t="s">
        <v>67</v>
      </c>
      <c r="AY15" s="1847">
        <v>0</v>
      </c>
    </row>
    <row customHeight="1" ht="14.25" hidden="1">
      <c r="AG16" s="2052"/>
      <c r="AH16" s="2052"/>
      <c r="AI16" s="2052"/>
      <c r="AJ16" s="2052"/>
      <c r="AK16" s="2052"/>
      <c r="AL16" s="2052"/>
      <c r="AM16" s="1020" t="str">
        <f>AN15&amp;"-"&amp;AP15</f>
        <v>-</v>
      </c>
      <c r="AN16" s="2960"/>
      <c r="AO16" s="2960"/>
      <c r="AP16" s="2960"/>
      <c r="AQ16" s="2960"/>
      <c r="AY16" s="1847">
        <v>0</v>
      </c>
    </row>
    <row customHeight="1" ht="14.25" hidden="1">
      <c r="AQ17" s="1019"/>
      <c r="AY17" s="1847">
        <v>0</v>
      </c>
    </row>
    <row s="62148" customFormat="1" customHeight="1" ht="22.5" hidden="1">
      <c r="L18" s="2170"/>
      <c r="M18" s="2054"/>
      <c r="N18" s="2054"/>
      <c r="O18" s="2059" t="s">
        <v>489</v>
      </c>
      <c r="P18" s="2054"/>
      <c r="Q18" s="2063"/>
      <c r="R18" s="2063"/>
      <c r="S18" s="1421"/>
      <c r="W18" s="2058"/>
      <c r="X18" s="2058"/>
      <c r="Y18" s="2058"/>
      <c r="Z18" s="2058"/>
      <c r="AA18" s="2058"/>
      <c r="AC18" s="2059"/>
      <c r="AE18" s="2059"/>
      <c r="AF18" s="2058"/>
      <c r="AH18" s="2058"/>
      <c r="AI18" s="2058"/>
      <c r="AJ18" s="2058"/>
      <c r="AK18" s="2058"/>
      <c r="AL18" s="2058"/>
      <c r="AN18" s="2059"/>
      <c r="AP18" s="2059"/>
      <c r="AQ18" s="2058"/>
      <c r="AT18" s="1203"/>
      <c r="AU18" s="1203"/>
      <c r="AV18" s="1203"/>
      <c r="AW18" s="1203"/>
      <c r="AX18" s="1203"/>
      <c r="AY18" s="1852">
        <v>0</v>
      </c>
    </row>
    <row s="62148" customFormat="1" customHeight="1" ht="14.25" hidden="1">
      <c r="L19" s="2170"/>
      <c r="M19" s="2054"/>
      <c r="N19" s="2054"/>
      <c r="O19" s="2054"/>
      <c r="P19" s="2054"/>
      <c r="Q19" s="2063"/>
      <c r="R19" s="2063"/>
      <c r="S19" s="1421"/>
      <c r="W19" s="2058"/>
      <c r="X19" s="2058"/>
      <c r="Y19" s="2058"/>
      <c r="Z19" s="2058"/>
      <c r="AA19" s="2058"/>
      <c r="AF19" s="2058"/>
      <c r="AH19" s="2058"/>
      <c r="AI19" s="2058"/>
      <c r="AJ19" s="2058"/>
      <c r="AK19" s="2058"/>
      <c r="AL19" s="2058"/>
      <c r="AQ19" s="2058"/>
      <c r="AT19" s="1203"/>
      <c r="AU19" s="1203"/>
      <c r="AV19" s="1203"/>
      <c r="AW19" s="1203"/>
      <c r="AX19" s="1203"/>
      <c r="AY19" s="1852">
        <v>0</v>
      </c>
    </row>
    <row s="62148" customFormat="1" customHeight="1" ht="12" hidden="1">
      <c r="L20" s="2170"/>
      <c r="M20" s="2054"/>
      <c r="N20" s="2054"/>
      <c r="O20" s="2056" t="s">
        <v>490</v>
      </c>
      <c r="P20" s="2054"/>
      <c r="Q20" s="2134"/>
      <c r="R20" s="2134"/>
      <c r="S20" s="1421"/>
      <c r="T20" s="1852" t="s">
        <v>491</v>
      </c>
      <c r="W20" s="2058"/>
      <c r="X20" s="2058"/>
      <c r="Y20" s="2058"/>
      <c r="Z20" s="2058"/>
      <c r="AA20" s="2058"/>
      <c r="AD20" s="878" t="s">
        <v>492</v>
      </c>
      <c r="AF20" s="878" t="s">
        <v>493</v>
      </c>
      <c r="AG20" s="1852" t="s">
        <v>491</v>
      </c>
      <c r="AH20" s="2058"/>
      <c r="AI20" s="2058"/>
      <c r="AJ20" s="2058"/>
      <c r="AK20" s="2058"/>
      <c r="AL20" s="2058"/>
      <c r="AO20" s="878" t="s">
        <v>494</v>
      </c>
      <c r="AQ20" s="878" t="s">
        <v>493</v>
      </c>
      <c r="AY20" s="1852">
        <v>0</v>
      </c>
    </row>
    <row customHeight="1" ht="14.25" hidden="1">
      <c r="O21" s="2056"/>
      <c r="AY21" s="1847">
        <v>0</v>
      </c>
    </row>
    <row customHeight="1" ht="14.25" hidden="1">
      <c r="O22" s="2056"/>
      <c r="AY22" s="1847">
        <v>0</v>
      </c>
    </row>
    <row customHeight="1" ht="14.699999999999998">
      <c r="Q23" s="1068"/>
      <c r="R23" s="1068"/>
      <c r="S23" s="1967"/>
      <c r="T23" s="1055"/>
      <c r="U23" s="1055"/>
      <c r="V23" s="1201"/>
      <c r="W23" s="2327"/>
      <c r="X23" s="2327"/>
      <c r="Y23" s="2327"/>
      <c r="Z23" s="2327"/>
      <c r="AA23" s="2327"/>
      <c r="AB23" s="1201"/>
      <c r="AC23" s="1201"/>
      <c r="AD23" s="1201"/>
      <c r="AE23" s="1201"/>
      <c r="AF23" s="1201"/>
      <c r="AG23" s="1201"/>
      <c r="AH23" s="2327"/>
      <c r="AI23" s="2327"/>
      <c r="AJ23" s="2327"/>
      <c r="AK23" s="2327"/>
      <c r="AL23" s="2327"/>
      <c r="AM23" s="1201"/>
      <c r="AN23" s="1201"/>
      <c r="AO23" s="1201"/>
      <c r="AP23" s="1201"/>
      <c r="AQ23" s="1201"/>
      <c r="AY23" s="1847">
        <v>14</v>
      </c>
    </row>
    <row customHeight="1" ht="26.25">
      <c r="Q24" s="1068"/>
      <c r="R24" s="1068"/>
      <c r="S24" s="294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40"/>
      <c r="U24" s="2940"/>
      <c r="V24" s="2940"/>
      <c r="W24" s="2940"/>
      <c r="X24" s="2940"/>
      <c r="Y24" s="2940"/>
      <c r="Z24" s="2940"/>
      <c r="AA24" s="2940"/>
      <c r="AB24" s="2940"/>
      <c r="AC24" s="2940"/>
      <c r="AD24" s="2940"/>
      <c r="AE24" s="2940"/>
      <c r="AF24" s="2940"/>
      <c r="AG24" s="2940"/>
      <c r="AH24" s="2940"/>
      <c r="AI24" s="2940"/>
      <c r="AJ24" s="2940"/>
      <c r="AK24" s="2940"/>
      <c r="AL24" s="2940"/>
      <c r="AM24" s="2940"/>
      <c r="AN24" s="2940"/>
      <c r="AO24" s="2940"/>
      <c r="AP24" s="2940"/>
      <c r="AQ24" s="1935"/>
      <c r="AY24" s="1847">
        <v>25</v>
      </c>
    </row>
    <row customHeight="1" ht="14.699999999999998">
      <c r="Q25" s="1068"/>
      <c r="R25" s="1068"/>
      <c r="S25" s="2941" t="str">
        <f>IF(org=0,"Не определено",org)</f>
        <v>АО "ДГК"</v>
      </c>
      <c r="T25" s="2941"/>
      <c r="U25" s="2941"/>
      <c r="V25" s="2941"/>
      <c r="W25" s="2941"/>
      <c r="X25" s="2941"/>
      <c r="Y25" s="2941"/>
      <c r="Z25" s="2941"/>
      <c r="AA25" s="2941"/>
      <c r="AB25" s="2941"/>
      <c r="AC25" s="2941"/>
      <c r="AD25" s="2941"/>
      <c r="AE25" s="2941"/>
      <c r="AF25" s="2941"/>
      <c r="AG25" s="2941"/>
      <c r="AH25" s="2941"/>
      <c r="AI25" s="2941"/>
      <c r="AJ25" s="2941"/>
      <c r="AK25" s="2941"/>
      <c r="AL25" s="2941"/>
      <c r="AM25" s="2941"/>
      <c r="AN25" s="2941"/>
      <c r="AO25" s="2941"/>
      <c r="AP25" s="2941"/>
      <c r="AQ25" s="1935"/>
      <c r="AY25" s="1847">
        <v>14</v>
      </c>
    </row>
    <row customHeight="1" ht="14.25" hidden="1">
      <c r="Q26" s="1068"/>
      <c r="R26" s="1068"/>
      <c r="S26" s="1967"/>
      <c r="T26" s="1055"/>
      <c r="U26" s="1055"/>
      <c r="V26" s="1014"/>
      <c r="W26" s="1014"/>
      <c r="X26" s="1014"/>
      <c r="Y26" s="1014"/>
      <c r="Z26" s="1014"/>
      <c r="AA26" s="1014"/>
      <c r="AB26" s="1014"/>
      <c r="AC26" s="1014"/>
      <c r="AD26" s="1014"/>
      <c r="AE26" s="1014"/>
      <c r="AF26" s="1014"/>
      <c r="AG26" s="1014"/>
      <c r="AH26" s="1014"/>
      <c r="AI26" s="1014"/>
      <c r="AJ26" s="1014"/>
      <c r="AK26" s="1014"/>
      <c r="AL26" s="1014"/>
      <c r="AM26" s="1014"/>
      <c r="AN26" s="1014"/>
      <c r="AO26" s="1014"/>
      <c r="AP26" s="1014"/>
      <c r="AQ26" s="1014"/>
      <c r="AR26" s="1201"/>
      <c r="AY26" s="1847">
        <v>0</v>
      </c>
    </row>
    <row s="63055" customFormat="1" customHeight="1" ht="25.5" hidden="1">
      <c r="A27" s="2060"/>
      <c r="B27" s="2060"/>
      <c r="C27" s="2060"/>
      <c r="D27" s="2060"/>
      <c r="E27" s="2060"/>
      <c r="F27" s="2060"/>
      <c r="G27" s="2060"/>
      <c r="H27" s="2060"/>
      <c r="I27" s="2060"/>
      <c r="J27" s="2060"/>
      <c r="K27" s="2060"/>
      <c r="L27" s="2061"/>
      <c r="M27" s="2060"/>
      <c r="N27" s="2060"/>
      <c r="O27" s="2060"/>
      <c r="S27" s="2942" t="s">
        <v>42</v>
      </c>
      <c r="T27" s="2942"/>
      <c r="U27" s="2064"/>
      <c r="V27" s="2943" t="str">
        <f>IF(TITLE_NAME_OR_PR_CHANGE="",IF(TITLE_NAME_OR_PR="","",TITLE_NAME_OR_PR),TITLE_NAME_OR_PR_CHANGE)</f>
        <v/>
      </c>
      <c r="W27" s="2943"/>
      <c r="X27" s="2943"/>
      <c r="Y27" s="2943"/>
      <c r="Z27" s="2943"/>
      <c r="AA27" s="2943"/>
      <c r="AB27" s="2943"/>
      <c r="AC27" s="2943"/>
      <c r="AD27" s="2943"/>
      <c r="AE27" s="2943"/>
      <c r="AF27" s="1018"/>
      <c r="AG27" s="2943" t="str">
        <f>IF(TITLE_NAME_OR_PR_CHANGE="",IF(TITLE_NAME_OR_PR="","",TITLE_NAME_OR_PR),TITLE_NAME_OR_PR_CHANGE)</f>
        <v/>
      </c>
      <c r="AH27" s="2943"/>
      <c r="AI27" s="2943"/>
      <c r="AJ27" s="2943"/>
      <c r="AK27" s="2943"/>
      <c r="AL27" s="2943"/>
      <c r="AM27" s="2943"/>
      <c r="AN27" s="2943"/>
      <c r="AO27" s="2943"/>
      <c r="AP27" s="2943"/>
      <c r="AQ27" s="1018"/>
      <c r="AR27" s="1018"/>
      <c r="AS27" s="972"/>
      <c r="AT27" s="1060"/>
      <c r="AU27" s="1060"/>
      <c r="AV27" s="1060"/>
      <c r="AW27" s="1060"/>
      <c r="AX27" s="1060"/>
      <c r="AY27" s="1110">
        <v>0</v>
      </c>
    </row>
    <row s="63055" customFormat="1" customHeight="1" ht="18.75" hidden="1">
      <c r="A28" s="2060"/>
      <c r="B28" s="2060"/>
      <c r="C28" s="2060"/>
      <c r="D28" s="2060"/>
      <c r="E28" s="2060"/>
      <c r="F28" s="2060"/>
      <c r="G28" s="2060"/>
      <c r="H28" s="2060"/>
      <c r="I28" s="2060"/>
      <c r="J28" s="2060"/>
      <c r="K28" s="2060"/>
      <c r="L28" s="2061"/>
      <c r="M28" s="2060"/>
      <c r="N28" s="2060"/>
      <c r="O28" s="2060"/>
      <c r="S28" s="2942" t="s">
        <v>495</v>
      </c>
      <c r="T28" s="2942"/>
      <c r="U28" s="2064"/>
      <c r="V28" s="2956" t="str">
        <f>IF(TITLE_DATE_PR_CHANGE="",IF(TITLE_DATE_PR="","",TITLE_DATE_PR),TITLE_DATE_PR_CHANGE)</f>
        <v>45981</v>
      </c>
      <c r="W28" s="2956"/>
      <c r="X28" s="2956"/>
      <c r="Y28" s="2956"/>
      <c r="Z28" s="2956"/>
      <c r="AA28" s="2956"/>
      <c r="AB28" s="2956"/>
      <c r="AC28" s="2956"/>
      <c r="AD28" s="2956"/>
      <c r="AE28" s="2956"/>
      <c r="AF28" s="1018"/>
      <c r="AG28" s="2956" t="str">
        <f>IF(TITLE_DATE_PR_CHANGE="",IF(TITLE_DATE_PR="","",TITLE_DATE_PR),TITLE_DATE_PR_CHANGE)</f>
        <v>45981</v>
      </c>
      <c r="AH28" s="2956"/>
      <c r="AI28" s="2956"/>
      <c r="AJ28" s="2956"/>
      <c r="AK28" s="2956"/>
      <c r="AL28" s="2956"/>
      <c r="AM28" s="2956"/>
      <c r="AN28" s="2956"/>
      <c r="AO28" s="2956"/>
      <c r="AP28" s="2956"/>
      <c r="AQ28" s="1018"/>
      <c r="AR28" s="1018"/>
      <c r="AS28" s="972"/>
      <c r="AT28" s="1060"/>
      <c r="AU28" s="1060"/>
      <c r="AV28" s="1060"/>
      <c r="AW28" s="1060"/>
      <c r="AX28" s="1060"/>
      <c r="AY28" s="1110">
        <v>0</v>
      </c>
    </row>
    <row s="63055" customFormat="1" customHeight="1" ht="18.75" hidden="1">
      <c r="A29" s="2060"/>
      <c r="B29" s="2060"/>
      <c r="C29" s="2060"/>
      <c r="D29" s="2060"/>
      <c r="E29" s="2060"/>
      <c r="F29" s="2060"/>
      <c r="G29" s="2060"/>
      <c r="H29" s="2060"/>
      <c r="I29" s="2060"/>
      <c r="J29" s="2060"/>
      <c r="K29" s="2060"/>
      <c r="L29" s="2061"/>
      <c r="M29" s="2060"/>
      <c r="N29" s="2060"/>
      <c r="O29" s="2060"/>
      <c r="S29" s="2942" t="s">
        <v>496</v>
      </c>
      <c r="T29" s="2942"/>
      <c r="U29" s="2064"/>
      <c r="V29" s="2943" t="str">
        <f>IF(TITLE_NUMBER_PR_CHANGE="",IF(TITLE_NUMBER_PR="","",TITLE_NUMBER_PR),TITLE_NUMBER_PR_CHANGE)</f>
        <v>Исх-260/1781</v>
      </c>
      <c r="W29" s="2943"/>
      <c r="X29" s="2943"/>
      <c r="Y29" s="2943"/>
      <c r="Z29" s="2943"/>
      <c r="AA29" s="2943"/>
      <c r="AB29" s="2943"/>
      <c r="AC29" s="2943"/>
      <c r="AD29" s="2943"/>
      <c r="AE29" s="2943"/>
      <c r="AF29" s="1018"/>
      <c r="AG29" s="2943" t="str">
        <f>IF(TITLE_NUMBER_PR_CHANGE="",IF(TITLE_NUMBER_PR="","",TITLE_NUMBER_PR),TITLE_NUMBER_PR_CHANGE)</f>
        <v>Исх-260/1781</v>
      </c>
      <c r="AH29" s="2943"/>
      <c r="AI29" s="2943"/>
      <c r="AJ29" s="2943"/>
      <c r="AK29" s="2943"/>
      <c r="AL29" s="2943"/>
      <c r="AM29" s="2943"/>
      <c r="AN29" s="2943"/>
      <c r="AO29" s="2943"/>
      <c r="AP29" s="2943"/>
      <c r="AQ29" s="1018"/>
      <c r="AR29" s="1018"/>
      <c r="AS29" s="972"/>
      <c r="AT29" s="1060"/>
      <c r="AU29" s="1060"/>
      <c r="AV29" s="1060"/>
      <c r="AW29" s="1060"/>
      <c r="AX29" s="1060"/>
      <c r="AY29" s="1110">
        <v>0</v>
      </c>
    </row>
    <row s="63055" customFormat="1" customHeight="1" ht="18.75" hidden="1">
      <c r="A30" s="2060"/>
      <c r="B30" s="2060"/>
      <c r="C30" s="2060"/>
      <c r="D30" s="2060"/>
      <c r="E30" s="2060"/>
      <c r="F30" s="2060"/>
      <c r="G30" s="2060"/>
      <c r="H30" s="2060"/>
      <c r="I30" s="2060"/>
      <c r="J30" s="2060"/>
      <c r="K30" s="2060"/>
      <c r="L30" s="2061"/>
      <c r="M30" s="2060"/>
      <c r="N30" s="2060"/>
      <c r="O30" s="2060"/>
      <c r="S30" s="2942" t="s">
        <v>43</v>
      </c>
      <c r="T30" s="2942"/>
      <c r="U30" s="2064"/>
      <c r="V30" s="2943" t="str">
        <f>IF(TITLE_IST_PUB_CHANGE="",IF(TITLE_IST_PUB="","",TITLE_IST_PUB),TITLE_IST_PUB_CHANGE)</f>
        <v/>
      </c>
      <c r="W30" s="2943"/>
      <c r="X30" s="2943"/>
      <c r="Y30" s="2943"/>
      <c r="Z30" s="2943"/>
      <c r="AA30" s="2943"/>
      <c r="AB30" s="2943"/>
      <c r="AC30" s="2943"/>
      <c r="AD30" s="2943"/>
      <c r="AE30" s="2943"/>
      <c r="AF30" s="1018"/>
      <c r="AG30" s="2943" t="str">
        <f>IF(TITLE_IST_PUB_CHANGE="",IF(TITLE_IST_PUB="","",TITLE_IST_PUB),TITLE_IST_PUB_CHANGE)</f>
        <v/>
      </c>
      <c r="AH30" s="2943"/>
      <c r="AI30" s="2943"/>
      <c r="AJ30" s="2943"/>
      <c r="AK30" s="2943"/>
      <c r="AL30" s="2943"/>
      <c r="AM30" s="2943"/>
      <c r="AN30" s="2943"/>
      <c r="AO30" s="2943"/>
      <c r="AP30" s="2943"/>
      <c r="AQ30" s="1018"/>
      <c r="AR30" s="1018"/>
      <c r="AS30" s="972"/>
      <c r="AT30" s="1060"/>
      <c r="AU30" s="1060"/>
      <c r="AV30" s="1060"/>
      <c r="AW30" s="1060"/>
      <c r="AX30" s="1060"/>
      <c r="AY30" s="1110">
        <v>0</v>
      </c>
    </row>
    <row customHeight="1" ht="14.25">
      <c r="Q31" s="1068"/>
      <c r="R31" s="1068"/>
      <c r="S31" s="1967"/>
      <c r="T31" s="1055"/>
      <c r="U31" s="1055"/>
      <c r="V31" s="1014"/>
      <c r="W31" s="1014"/>
      <c r="X31" s="1014"/>
      <c r="Y31" s="1014"/>
      <c r="Z31" s="1014"/>
      <c r="AA31" s="1014"/>
      <c r="AB31" s="1014"/>
      <c r="AC31" s="1014"/>
      <c r="AD31" s="1014"/>
      <c r="AE31" s="1014"/>
      <c r="AF31" s="1014"/>
      <c r="AG31" s="1014"/>
      <c r="AH31" s="1014"/>
      <c r="AI31" s="1014"/>
      <c r="AJ31" s="1014"/>
      <c r="AK31" s="1014"/>
      <c r="AL31" s="1014"/>
      <c r="AM31" s="1014"/>
      <c r="AN31" s="1014"/>
      <c r="AO31" s="1014"/>
      <c r="AP31" s="1014"/>
      <c r="AQ31" s="1014"/>
      <c r="AR31" s="1201"/>
      <c r="AY31" s="1847">
        <v>0</v>
      </c>
    </row>
    <row s="63055" customFormat="1" customHeight="1" ht="18.75">
      <c r="A32" s="2060"/>
      <c r="B32" s="2060"/>
      <c r="C32" s="2060"/>
      <c r="D32" s="2060"/>
      <c r="E32" s="2060"/>
      <c r="F32" s="2060"/>
      <c r="G32" s="2060"/>
      <c r="H32" s="2060"/>
      <c r="I32" s="2060"/>
      <c r="J32" s="2060"/>
      <c r="K32" s="2060"/>
      <c r="L32" s="2061"/>
      <c r="M32" s="2060"/>
      <c r="N32" s="2060"/>
      <c r="O32" s="2060"/>
      <c r="S32" s="2942" t="s">
        <v>497</v>
      </c>
      <c r="T32" s="2942"/>
      <c r="U32" s="2064"/>
      <c r="V32" s="2956" t="str">
        <f>IF(TITLE_DATE_PR_CHANGE="",IF(TITLE_DATE_PR="","",TITLE_DATE_PR),TITLE_DATE_PR_CHANGE)</f>
        <v>45981</v>
      </c>
      <c r="W32" s="2956"/>
      <c r="X32" s="2956"/>
      <c r="Y32" s="2956"/>
      <c r="Z32" s="2956"/>
      <c r="AA32" s="2956"/>
      <c r="AB32" s="2956"/>
      <c r="AC32" s="2956"/>
      <c r="AD32" s="2956"/>
      <c r="AE32" s="2956"/>
      <c r="AF32" s="1018"/>
      <c r="AG32" s="2956" t="str">
        <f>IF(TITLE_DATE_PR_CHANGE="",IF(TITLE_DATE_PR="","",TITLE_DATE_PR),TITLE_DATE_PR_CHANGE)</f>
        <v>45981</v>
      </c>
      <c r="AH32" s="2956"/>
      <c r="AI32" s="2956"/>
      <c r="AJ32" s="2956"/>
      <c r="AK32" s="2956"/>
      <c r="AL32" s="2956"/>
      <c r="AM32" s="2956"/>
      <c r="AN32" s="2956"/>
      <c r="AO32" s="2956"/>
      <c r="AP32" s="2956"/>
      <c r="AQ32" s="1018"/>
      <c r="AR32" s="1018"/>
      <c r="AS32" s="972"/>
      <c r="AT32" s="1060"/>
      <c r="AU32" s="1060"/>
      <c r="AV32" s="1060"/>
      <c r="AW32" s="1060"/>
      <c r="AX32" s="1060"/>
      <c r="AY32" s="1110">
        <v>0</v>
      </c>
    </row>
    <row s="63055" customFormat="1" customHeight="1" ht="18.75">
      <c r="A33" s="2060"/>
      <c r="B33" s="2060"/>
      <c r="C33" s="2060"/>
      <c r="D33" s="2060"/>
      <c r="E33" s="2060"/>
      <c r="F33" s="2060"/>
      <c r="G33" s="2060"/>
      <c r="H33" s="2060"/>
      <c r="I33" s="2060"/>
      <c r="J33" s="2060"/>
      <c r="K33" s="2060"/>
      <c r="L33" s="2061"/>
      <c r="M33" s="2060"/>
      <c r="N33" s="2060"/>
      <c r="O33" s="2060"/>
      <c r="S33" s="2942" t="s">
        <v>498</v>
      </c>
      <c r="T33" s="2942"/>
      <c r="U33" s="2064"/>
      <c r="V33" s="2943" t="str">
        <f>IF(TITLE_NUMBER_PR_CHANGE="",IF(TITLE_NUMBER_PR="","",TITLE_NUMBER_PR),TITLE_NUMBER_PR_CHANGE)</f>
        <v>Исх-260/1781</v>
      </c>
      <c r="W33" s="2943"/>
      <c r="X33" s="2943"/>
      <c r="Y33" s="2943"/>
      <c r="Z33" s="2943"/>
      <c r="AA33" s="2943"/>
      <c r="AB33" s="2943"/>
      <c r="AC33" s="2943"/>
      <c r="AD33" s="2943"/>
      <c r="AE33" s="2943"/>
      <c r="AF33" s="1018"/>
      <c r="AG33" s="2943" t="str">
        <f>IF(TITLE_NUMBER_PR_CHANGE="",IF(TITLE_NUMBER_PR="","",TITLE_NUMBER_PR),TITLE_NUMBER_PR_CHANGE)</f>
        <v>Исх-260/1781</v>
      </c>
      <c r="AH33" s="2943"/>
      <c r="AI33" s="2943"/>
      <c r="AJ33" s="2943"/>
      <c r="AK33" s="2943"/>
      <c r="AL33" s="2943"/>
      <c r="AM33" s="2943"/>
      <c r="AN33" s="2943"/>
      <c r="AO33" s="2943"/>
      <c r="AP33" s="2943"/>
      <c r="AQ33" s="1018"/>
      <c r="AR33" s="1018"/>
      <c r="AS33" s="972"/>
      <c r="AT33" s="1060"/>
      <c r="AU33" s="1060"/>
      <c r="AV33" s="1060"/>
      <c r="AW33" s="1060"/>
      <c r="AX33" s="1060"/>
      <c r="AY33" s="1110">
        <v>0</v>
      </c>
    </row>
    <row s="63055" customFormat="1" customHeight="1" ht="1.05">
      <c r="A34" s="2060"/>
      <c r="B34" s="2060"/>
      <c r="C34" s="2060"/>
      <c r="D34" s="2060"/>
      <c r="E34" s="2060"/>
      <c r="F34" s="2060"/>
      <c r="G34" s="2060"/>
      <c r="H34" s="2060"/>
      <c r="I34" s="2060"/>
      <c r="J34" s="2060"/>
      <c r="K34" s="2060"/>
      <c r="L34" s="2061"/>
      <c r="M34" s="2060"/>
      <c r="N34" s="2060"/>
      <c r="O34" s="2060"/>
      <c r="S34" s="1015"/>
      <c r="T34" s="1015"/>
      <c r="U34" s="2180"/>
      <c r="V34" s="1018"/>
      <c r="W34" s="2327"/>
      <c r="X34" s="2327"/>
      <c r="Y34" s="2327"/>
      <c r="Z34" s="2327"/>
      <c r="AA34" s="2327"/>
      <c r="AB34" s="1018"/>
      <c r="AC34" s="1018"/>
      <c r="AD34" s="1018"/>
      <c r="AE34" s="1018"/>
      <c r="AF34" s="970" t="s">
        <v>499</v>
      </c>
      <c r="AG34" s="1018"/>
      <c r="AH34" s="2327"/>
      <c r="AI34" s="2327"/>
      <c r="AJ34" s="2327"/>
      <c r="AK34" s="2327"/>
      <c r="AL34" s="2327"/>
      <c r="AM34" s="1018"/>
      <c r="AN34" s="1018"/>
      <c r="AO34" s="1018"/>
      <c r="AP34" s="1018"/>
      <c r="AQ34" s="970" t="s">
        <v>499</v>
      </c>
      <c r="AT34" s="1060"/>
      <c r="AU34" s="1060"/>
      <c r="AV34" s="1060"/>
      <c r="AW34" s="1060"/>
      <c r="AX34" s="1060"/>
      <c r="AY34" s="1110">
        <v>1</v>
      </c>
    </row>
    <row customHeight="1" ht="14.699999999999998">
      <c r="Q35" s="1068"/>
      <c r="R35" s="1068"/>
      <c r="S35" s="1967"/>
      <c r="T35" s="1055"/>
      <c r="U35" s="1936"/>
      <c r="V35" s="2944"/>
      <c r="W35" s="2944"/>
      <c r="X35" s="2944"/>
      <c r="Y35" s="2944"/>
      <c r="Z35" s="2944"/>
      <c r="AA35" s="2944"/>
      <c r="AB35" s="2944"/>
      <c r="AC35" s="2944"/>
      <c r="AD35" s="2944"/>
      <c r="AE35" s="2944"/>
      <c r="AF35" s="2944"/>
      <c r="AG35" s="2944"/>
      <c r="AH35" s="2944"/>
      <c r="AI35" s="2944"/>
      <c r="AJ35" s="2944"/>
      <c r="AK35" s="2944"/>
      <c r="AL35" s="2944"/>
      <c r="AM35" s="2944"/>
      <c r="AN35" s="2944"/>
      <c r="AO35" s="2944"/>
      <c r="AP35" s="2944"/>
      <c r="AQ35" s="2944"/>
      <c r="AY35" s="1847">
        <v>14</v>
      </c>
    </row>
    <row customHeight="1" ht="14.699999999999998">
      <c r="Q36" s="1068"/>
      <c r="R36" s="1068"/>
      <c r="S36" s="2819" t="s">
        <v>375</v>
      </c>
      <c r="T36" s="2819"/>
      <c r="U36" s="2819"/>
      <c r="V36" s="2819"/>
      <c r="W36" s="2819"/>
      <c r="X36" s="2819"/>
      <c r="Y36" s="2819"/>
      <c r="Z36" s="2819"/>
      <c r="AA36" s="2819"/>
      <c r="AB36" s="2819"/>
      <c r="AC36" s="2819"/>
      <c r="AD36" s="2819"/>
      <c r="AE36" s="2819"/>
      <c r="AF36" s="2819"/>
      <c r="AG36" s="2819"/>
      <c r="AH36" s="2819"/>
      <c r="AI36" s="2819"/>
      <c r="AJ36" s="2819"/>
      <c r="AK36" s="2819"/>
      <c r="AL36" s="2819"/>
      <c r="AM36" s="2819"/>
      <c r="AN36" s="2819"/>
      <c r="AO36" s="2819"/>
      <c r="AP36" s="2819"/>
      <c r="AQ36" s="2819"/>
      <c r="AR36" s="2819"/>
      <c r="AS36" s="2819" t="s">
        <v>376</v>
      </c>
      <c r="AY36" s="1847">
        <v>14</v>
      </c>
    </row>
    <row customHeight="1" ht="14.699999999999998">
      <c r="Q37" s="1068"/>
      <c r="R37" s="1068"/>
      <c r="S37" s="2965" t="s">
        <v>89</v>
      </c>
      <c r="T37" s="2901" t="s">
        <v>500</v>
      </c>
      <c r="U37" s="993"/>
      <c r="V37" s="2966" t="s">
        <v>501</v>
      </c>
      <c r="W37" s="2967"/>
      <c r="X37" s="2967"/>
      <c r="Y37" s="2967"/>
      <c r="Z37" s="2967"/>
      <c r="AA37" s="2967"/>
      <c r="AB37" s="2967"/>
      <c r="AC37" s="2967"/>
      <c r="AD37" s="2967"/>
      <c r="AE37" s="2968"/>
      <c r="AF37" s="2969" t="s">
        <v>502</v>
      </c>
      <c r="AG37" s="2966" t="s">
        <v>501</v>
      </c>
      <c r="AH37" s="2967"/>
      <c r="AI37" s="2967"/>
      <c r="AJ37" s="2967"/>
      <c r="AK37" s="2967"/>
      <c r="AL37" s="2967"/>
      <c r="AM37" s="2967"/>
      <c r="AN37" s="2967"/>
      <c r="AO37" s="2967"/>
      <c r="AP37" s="2968"/>
      <c r="AQ37" s="2969" t="s">
        <v>503</v>
      </c>
      <c r="AR37" s="2972" t="s">
        <v>504</v>
      </c>
      <c r="AS37" s="2819"/>
      <c r="AY37" s="1847">
        <v>14</v>
      </c>
    </row>
    <row s="62286" customFormat="1" customHeight="1" ht="19.95">
      <c r="A38" s="2058"/>
      <c r="B38" s="2058"/>
      <c r="C38" s="2058"/>
      <c r="D38" s="2058"/>
      <c r="E38" s="2058"/>
      <c r="F38" s="2058"/>
      <c r="G38" s="2058"/>
      <c r="H38" s="2058"/>
      <c r="I38" s="2058"/>
      <c r="J38" s="2058"/>
      <c r="K38" s="2058"/>
      <c r="L38" s="2672"/>
      <c r="M38" s="2054"/>
      <c r="N38" s="2054"/>
      <c r="O38" s="2054"/>
      <c r="P38" s="2673"/>
      <c r="Q38" s="1068"/>
      <c r="R38" s="1068"/>
      <c r="S38" s="2965"/>
      <c r="T38" s="2901"/>
      <c r="U38" s="1723"/>
      <c r="V38" s="3058" t="s">
        <v>606</v>
      </c>
      <c r="W38" s="3057" t="s">
        <v>607</v>
      </c>
      <c r="X38" s="3057"/>
      <c r="Y38" s="3057"/>
      <c r="Z38" s="3057" t="s">
        <v>608</v>
      </c>
      <c r="AA38" s="3057"/>
      <c r="AB38" s="3057"/>
      <c r="AC38" s="2986" t="s">
        <v>508</v>
      </c>
      <c r="AD38" s="3005"/>
      <c r="AE38" s="3006"/>
      <c r="AF38" s="2970"/>
      <c r="AG38" s="3058" t="s">
        <v>606</v>
      </c>
      <c r="AH38" s="3057" t="s">
        <v>607</v>
      </c>
      <c r="AI38" s="3057"/>
      <c r="AJ38" s="3057"/>
      <c r="AK38" s="3057" t="s">
        <v>608</v>
      </c>
      <c r="AL38" s="3057"/>
      <c r="AM38" s="3057"/>
      <c r="AN38" s="2986" t="s">
        <v>508</v>
      </c>
      <c r="AO38" s="3005"/>
      <c r="AP38" s="3006"/>
      <c r="AQ38" s="2970"/>
      <c r="AR38" s="2973"/>
      <c r="AS38" s="2819"/>
      <c r="AT38" s="2328"/>
      <c r="AU38" s="2328"/>
      <c r="AV38" s="2328"/>
      <c r="AW38" s="2328"/>
      <c r="AX38" s="2328"/>
      <c r="AY38" s="2323">
        <v>19</v>
      </c>
    </row>
    <row customHeight="1" ht="19.95">
      <c r="Q39" s="1068"/>
      <c r="R39" s="1068"/>
      <c r="S39" s="2965"/>
      <c r="T39" s="2901"/>
      <c r="U39" s="1723"/>
      <c r="V39" s="3058"/>
      <c r="W39" s="3057" t="s">
        <v>609</v>
      </c>
      <c r="X39" s="3057" t="s">
        <v>610</v>
      </c>
      <c r="Y39" s="3057"/>
      <c r="Z39" s="3057" t="s">
        <v>611</v>
      </c>
      <c r="AA39" s="3057" t="s">
        <v>610</v>
      </c>
      <c r="AB39" s="3057"/>
      <c r="AC39" s="2987"/>
      <c r="AD39" s="3007"/>
      <c r="AE39" s="3008"/>
      <c r="AF39" s="2970"/>
      <c r="AG39" s="3058"/>
      <c r="AH39" s="3057" t="s">
        <v>609</v>
      </c>
      <c r="AI39" s="3057" t="s">
        <v>610</v>
      </c>
      <c r="AJ39" s="3057"/>
      <c r="AK39" s="3057" t="s">
        <v>611</v>
      </c>
      <c r="AL39" s="3057" t="s">
        <v>610</v>
      </c>
      <c r="AM39" s="3057"/>
      <c r="AN39" s="2987"/>
      <c r="AO39" s="3007"/>
      <c r="AP39" s="3008"/>
      <c r="AQ39" s="2970"/>
      <c r="AR39" s="2973"/>
      <c r="AS39" s="2819"/>
      <c r="AY39" s="1847">
        <v>19</v>
      </c>
    </row>
    <row customHeight="1" ht="61.949999999999996">
      <c r="A40" s="2062"/>
      <c r="B40" s="2062" t="s">
        <v>143</v>
      </c>
      <c r="C40" s="2062" t="s">
        <v>144</v>
      </c>
      <c r="D40" s="2062" t="s">
        <v>145</v>
      </c>
      <c r="E40" s="2056" t="s">
        <v>509</v>
      </c>
      <c r="F40" s="2056" t="s">
        <v>510</v>
      </c>
      <c r="G40" s="2056" t="s">
        <v>511</v>
      </c>
      <c r="H40" s="2056"/>
      <c r="I40" s="2056" t="s">
        <v>564</v>
      </c>
      <c r="J40" s="2056" t="s">
        <v>514</v>
      </c>
      <c r="K40" s="2056" t="s">
        <v>565</v>
      </c>
      <c r="L40" s="2056" t="s">
        <v>490</v>
      </c>
      <c r="Q40" s="1068"/>
      <c r="R40" s="1068"/>
      <c r="S40" s="2965"/>
      <c r="T40" s="2901"/>
      <c r="U40" s="994"/>
      <c r="V40" s="3058"/>
      <c r="W40" s="3057"/>
      <c r="X40" s="2675" t="s">
        <v>612</v>
      </c>
      <c r="Y40" s="2675" t="s">
        <v>613</v>
      </c>
      <c r="Z40" s="3057"/>
      <c r="AA40" s="2675" t="s">
        <v>614</v>
      </c>
      <c r="AB40" s="2675" t="s">
        <v>615</v>
      </c>
      <c r="AC40" s="2181" t="s">
        <v>518</v>
      </c>
      <c r="AD40" s="2962" t="s">
        <v>519</v>
      </c>
      <c r="AE40" s="2963"/>
      <c r="AF40" s="2971"/>
      <c r="AG40" s="3058"/>
      <c r="AH40" s="3057"/>
      <c r="AI40" s="2675" t="s">
        <v>612</v>
      </c>
      <c r="AJ40" s="2675" t="s">
        <v>613</v>
      </c>
      <c r="AK40" s="3057"/>
      <c r="AL40" s="2675" t="s">
        <v>614</v>
      </c>
      <c r="AM40" s="2675" t="s">
        <v>615</v>
      </c>
      <c r="AN40" s="2181" t="s">
        <v>518</v>
      </c>
      <c r="AO40" s="2962" t="s">
        <v>519</v>
      </c>
      <c r="AP40" s="2963"/>
      <c r="AQ40" s="2971"/>
      <c r="AR40" s="2974"/>
      <c r="AS40" s="2819"/>
      <c r="AY40" s="1847">
        <v>59</v>
      </c>
    </row>
    <row s="61193" customFormat="1" customHeight="1" ht="11.25" hidden="1">
      <c r="A41" s="2062"/>
      <c r="B41" s="2062"/>
      <c r="C41" s="2062"/>
      <c r="D41" s="2062"/>
      <c r="E41" s="2062"/>
      <c r="F41" s="2062"/>
      <c r="G41" s="2062"/>
      <c r="H41" s="2062"/>
      <c r="I41" s="2062"/>
      <c r="J41" s="2062"/>
      <c r="K41" s="2062"/>
      <c r="L41" s="2056"/>
      <c r="M41" s="2054"/>
      <c r="N41" s="2054"/>
      <c r="O41" s="2054"/>
      <c r="P41" s="1938"/>
      <c r="Q41" s="1939"/>
      <c r="R41" s="1946">
        <v>1</v>
      </c>
      <c r="S41" s="1969" t="s">
        <v>118</v>
      </c>
      <c r="T41" s="1947" t="s">
        <v>103</v>
      </c>
      <c r="U41" s="1937" t="str">
        <f>OFFSET(U41,0,-1)</f>
        <v>2</v>
      </c>
      <c r="V41" s="2174">
        <f>OFFSET(V41,0,-1)+1</f>
        <v>3</v>
      </c>
      <c r="W41" s="2671"/>
      <c r="X41" s="2671"/>
      <c r="Y41" s="2671"/>
      <c r="Z41" s="2671"/>
      <c r="AA41" s="2671"/>
      <c r="AB41" s="2174">
        <f>OFFSET(AB41,0,-1)+1</f>
        <v>1</v>
      </c>
      <c r="AC41" s="2174">
        <f>OFFSET(AC41,0,-1)+1</f>
        <v>2</v>
      </c>
      <c r="AD41" s="2964">
        <f>OFFSET(AD41,0,-1)+1</f>
        <v>3</v>
      </c>
      <c r="AE41" s="2964"/>
      <c r="AF41" s="2174">
        <f>OFFSET(AF41,0,-2)+1</f>
        <v>4</v>
      </c>
      <c r="AG41" s="2174">
        <f>OFFSET(AG41,0,-1)+1</f>
        <v>5</v>
      </c>
      <c r="AH41" s="2671"/>
      <c r="AI41" s="2671"/>
      <c r="AJ41" s="2671"/>
      <c r="AK41" s="2671"/>
      <c r="AL41" s="2671"/>
      <c r="AM41" s="2174">
        <f>OFFSET(AM41,0,-1)+1</f>
        <v>1</v>
      </c>
      <c r="AN41" s="2174">
        <f>OFFSET(AN41,0,-1)+1</f>
        <v>2</v>
      </c>
      <c r="AO41" s="2964">
        <f>OFFSET(AO41,0,-1)+1</f>
        <v>3</v>
      </c>
      <c r="AP41" s="2964"/>
      <c r="AQ41" s="2174">
        <f>OFFSET(AQ41,0,-2)+1</f>
        <v>4</v>
      </c>
      <c r="AR41" s="1937">
        <f>OFFSET(AR41,0,-1)</f>
        <v>4</v>
      </c>
      <c r="AS41" s="2174">
        <f>OFFSET(AS41,0,-1)+1</f>
        <v>5</v>
      </c>
      <c r="AT41" s="1203"/>
      <c r="AU41" s="1203"/>
      <c r="AV41" s="1203"/>
      <c r="AW41" s="1203"/>
      <c r="AX41" s="1203"/>
      <c r="AY41" s="1188">
        <v>0</v>
      </c>
    </row>
    <row customHeight="1" ht="24">
      <c r="A42" s="2055" t="s">
        <v>331</v>
      </c>
      <c r="B42" s="2055"/>
      <c r="C42" s="2055"/>
      <c r="D42" s="2055"/>
      <c r="E42" s="2950">
        <v>1</v>
      </c>
      <c r="F42" s="2055"/>
      <c r="G42" s="2055"/>
      <c r="H42" s="2055"/>
      <c r="I42" s="2055"/>
      <c r="J42" s="2055"/>
      <c r="K42" s="2055"/>
      <c r="L42" s="2056"/>
      <c r="M42" s="2057"/>
      <c r="N42" s="2057"/>
      <c r="O42" s="2057"/>
      <c r="P42" s="1053"/>
      <c r="Q42" s="1052"/>
      <c r="R42" s="1047"/>
      <c r="S42" s="2185">
        <f>INDEX(PT_DIFFERENTIATION_NUM_NTAR,MATCH(A42,PT_DIFFERENTIATION_NTAR_ID,0))</f>
        <v>0</v>
      </c>
      <c r="T42" s="990" t="s">
        <v>131</v>
      </c>
      <c r="U42" s="992"/>
      <c r="V42" s="2934"/>
      <c r="W42" s="2935"/>
      <c r="X42" s="2935"/>
      <c r="Y42" s="2935"/>
      <c r="Z42" s="2935"/>
      <c r="AA42" s="2935"/>
      <c r="AB42" s="2935"/>
      <c r="AC42" s="2935"/>
      <c r="AD42" s="2935"/>
      <c r="AE42" s="2935"/>
      <c r="AF42" s="2936"/>
      <c r="AG42" s="2934" t="str">
        <f>INDEX(PT_DIFFERENTIATION_NTAR,MATCH(A42,PT_DIFFERENTIATION_NTAR_ID,0))</f>
        <v/>
      </c>
      <c r="AH42" s="2935"/>
      <c r="AI42" s="2935"/>
      <c r="AJ42" s="2935"/>
      <c r="AK42" s="2935"/>
      <c r="AL42" s="2935"/>
      <c r="AM42" s="2935"/>
      <c r="AN42" s="2935"/>
      <c r="AO42" s="2935"/>
      <c r="AP42" s="2935"/>
      <c r="AQ42" s="2935"/>
      <c r="AR42" s="2936"/>
      <c r="AS4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192"/>
      <c r="AV42" s="1192" t="str">
        <f>IF(T42="","",T42)</f>
        <v>Наименование тарифа</v>
      </c>
      <c r="AW42" s="1192"/>
      <c r="AX42" s="1192"/>
      <c r="AY42" s="1847">
        <v>23</v>
      </c>
    </row>
    <row customHeight="1" ht="24">
      <c r="A43" s="2055" t="s">
        <v>331</v>
      </c>
      <c r="B43" s="2055" t="s">
        <v>332</v>
      </c>
      <c r="C43" s="2055"/>
      <c r="D43" s="2055"/>
      <c r="E43" s="2951"/>
      <c r="F43" s="2950">
        <v>1</v>
      </c>
      <c r="G43" s="2055"/>
      <c r="H43" s="2055"/>
      <c r="I43" s="2055"/>
      <c r="J43" s="2055"/>
      <c r="K43" s="2055"/>
      <c r="L43" s="2056"/>
      <c r="M43" s="2057"/>
      <c r="N43" s="2057"/>
      <c r="O43" s="2057"/>
      <c r="P43" s="2179"/>
      <c r="Q43" s="1044"/>
      <c r="R43" s="1045"/>
      <c r="S43" s="2185" t="str">
        <f>INDEX(PT_DIFFERENTIATION_NUM_TER,MATCH(B43,PT_DIFFERENTIATION_TER_ID,0))</f>
        <v>.</v>
      </c>
      <c r="T43" s="1000" t="s">
        <v>472</v>
      </c>
      <c r="U43" s="992"/>
      <c r="V43" s="2934"/>
      <c r="W43" s="2935"/>
      <c r="X43" s="2935"/>
      <c r="Y43" s="2935"/>
      <c r="Z43" s="2935"/>
      <c r="AA43" s="2935"/>
      <c r="AB43" s="2935"/>
      <c r="AC43" s="2935"/>
      <c r="AD43" s="2935"/>
      <c r="AE43" s="2935"/>
      <c r="AF43" s="2936"/>
      <c r="AG43" s="2934" t="str">
        <f>INDEX(PT_DIFFERENTIATION_TER,MATCH(B43,PT_DIFFERENTIATION_TER_ID,0))</f>
        <v/>
      </c>
      <c r="AH43" s="2935"/>
      <c r="AI43" s="2935"/>
      <c r="AJ43" s="2935"/>
      <c r="AK43" s="2935"/>
      <c r="AL43" s="2935"/>
      <c r="AM43" s="2935"/>
      <c r="AN43" s="2935"/>
      <c r="AO43" s="2935"/>
      <c r="AP43" s="2935"/>
      <c r="AQ43" s="2935"/>
      <c r="AR43" s="2936"/>
      <c r="AS43" s="1950" t="s">
        <v>473</v>
      </c>
      <c r="AU43" s="1192"/>
      <c r="AV43" s="1192" t="str">
        <f>IF(T43="","",T43)</f>
        <v>Территория действия тарифа</v>
      </c>
      <c r="AW43" s="1192"/>
      <c r="AX43" s="1192"/>
      <c r="AY43" s="1847">
        <v>23</v>
      </c>
    </row>
    <row customHeight="1" ht="24">
      <c r="A44" s="2055" t="s">
        <v>331</v>
      </c>
      <c r="B44" s="2055" t="s">
        <v>332</v>
      </c>
      <c r="C44" s="2055" t="s">
        <v>333</v>
      </c>
      <c r="D44" s="2055"/>
      <c r="E44" s="2951"/>
      <c r="F44" s="2951"/>
      <c r="G44" s="2950">
        <v>1</v>
      </c>
      <c r="H44" s="2055"/>
      <c r="I44" s="2055"/>
      <c r="J44" s="2055"/>
      <c r="K44" s="2055"/>
      <c r="L44" s="2056"/>
      <c r="M44" s="2057"/>
      <c r="N44" s="2057"/>
      <c r="O44" s="2057"/>
      <c r="P44" s="1046"/>
      <c r="Q44" s="1044"/>
      <c r="R44" s="1045"/>
      <c r="S44" s="2185" t="str">
        <f>INDEX(PT_DIFFERENTIATION_NUM_CS,MATCH(C44,PT_DIFFERENTIATION_CS_ID,0))</f>
        <v>..</v>
      </c>
      <c r="T44" s="1001" t="s">
        <v>604</v>
      </c>
      <c r="U44" s="992"/>
      <c r="V44" s="2934"/>
      <c r="W44" s="2935"/>
      <c r="X44" s="2935"/>
      <c r="Y44" s="2935"/>
      <c r="Z44" s="2935"/>
      <c r="AA44" s="2935"/>
      <c r="AB44" s="2935"/>
      <c r="AC44" s="2935"/>
      <c r="AD44" s="2935"/>
      <c r="AE44" s="2935"/>
      <c r="AF44" s="2936"/>
      <c r="AG44" s="2934" t="str">
        <f>INDEX(PT_DIFFERENTIATION_CS,MATCH(C44,PT_DIFFERENTIATION_CS_ID,0))</f>
        <v/>
      </c>
      <c r="AH44" s="2935"/>
      <c r="AI44" s="2935"/>
      <c r="AJ44" s="2935"/>
      <c r="AK44" s="2935"/>
      <c r="AL44" s="2935"/>
      <c r="AM44" s="2935"/>
      <c r="AN44" s="2935"/>
      <c r="AO44" s="2935"/>
      <c r="AP44" s="2935"/>
      <c r="AQ44" s="2935"/>
      <c r="AR44" s="2936"/>
      <c r="AS44" s="1950" t="s">
        <v>605</v>
      </c>
      <c r="AU44" s="1192"/>
      <c r="AV44" s="1192" t="str">
        <f>IF(T44="","",T44)</f>
        <v>Наименование централизованной системы горячего водоснабжения</v>
      </c>
      <c r="AW44" s="1192"/>
      <c r="AX44" s="1192"/>
      <c r="AY44" s="1847">
        <v>23</v>
      </c>
    </row>
    <row customHeight="1" ht="24">
      <c r="A45" s="2055" t="s">
        <v>331</v>
      </c>
      <c r="B45" s="2055" t="s">
        <v>332</v>
      </c>
      <c r="C45" s="2055" t="s">
        <v>333</v>
      </c>
      <c r="D45" s="2055" t="s">
        <v>617</v>
      </c>
      <c r="E45" s="2951"/>
      <c r="F45" s="2951"/>
      <c r="G45" s="2951"/>
      <c r="H45" s="2951"/>
      <c r="I45" s="2948" t="str">
        <f>S44&amp;".1"</f>
        <v>...1</v>
      </c>
      <c r="J45" s="2055"/>
      <c r="K45" s="2055"/>
      <c r="L45" s="2056"/>
      <c r="P45" s="2949">
        <v>1</v>
      </c>
      <c r="Q45" s="2173"/>
      <c r="R45" s="1048"/>
      <c r="S45" s="2185" t="str">
        <f>$I45</f>
        <v>...1</v>
      </c>
      <c r="T45" s="977" t="s">
        <v>557</v>
      </c>
      <c r="U45" s="992"/>
      <c r="V45" s="3042"/>
      <c r="W45" s="3043"/>
      <c r="X45" s="3043"/>
      <c r="Y45" s="3043"/>
      <c r="Z45" s="3043"/>
      <c r="AA45" s="3043"/>
      <c r="AB45" s="3043"/>
      <c r="AC45" s="3043"/>
      <c r="AD45" s="3043"/>
      <c r="AE45" s="3043"/>
      <c r="AF45" s="3044"/>
      <c r="AG45" s="3045"/>
      <c r="AH45" s="3046"/>
      <c r="AI45" s="3046"/>
      <c r="AJ45" s="3046"/>
      <c r="AK45" s="3046"/>
      <c r="AL45" s="3046"/>
      <c r="AM45" s="3046"/>
      <c r="AN45" s="3046"/>
      <c r="AO45" s="3046"/>
      <c r="AP45" s="3046"/>
      <c r="AQ45" s="3046"/>
      <c r="AR45" s="3047"/>
      <c r="AS45" s="1950" t="s">
        <v>558</v>
      </c>
      <c r="AU45" s="1192"/>
      <c r="AV45" s="1192" t="str">
        <f>IF(T45="","",T45)</f>
        <v>Наименование признака дифференциации</v>
      </c>
      <c r="AW45" s="1192"/>
      <c r="AX45" s="1192"/>
      <c r="AY45" s="1847">
        <v>23</v>
      </c>
    </row>
    <row customHeight="1" ht="24">
      <c r="A46" s="2055" t="s">
        <v>331</v>
      </c>
      <c r="B46" s="2055" t="s">
        <v>332</v>
      </c>
      <c r="C46" s="2055" t="s">
        <v>333</v>
      </c>
      <c r="D46" s="2055" t="s">
        <v>617</v>
      </c>
      <c r="E46" s="2951"/>
      <c r="F46" s="2951"/>
      <c r="G46" s="2951"/>
      <c r="H46" s="2951"/>
      <c r="I46" s="2978"/>
      <c r="J46" s="2948" t="str">
        <f>I45&amp;".1"</f>
        <v>...1.1</v>
      </c>
      <c r="K46" s="2055"/>
      <c r="L46" s="2056" t="s">
        <v>481</v>
      </c>
      <c r="P46" s="2949"/>
      <c r="Q46" s="2949">
        <v>1</v>
      </c>
      <c r="R46" s="1049"/>
      <c r="S46" s="2185" t="str">
        <f>$J46</f>
        <v>...1.1</v>
      </c>
      <c r="T46" s="978" t="s">
        <v>482</v>
      </c>
      <c r="U46" s="992"/>
      <c r="V46" s="2937"/>
      <c r="W46" s="2938"/>
      <c r="X46" s="2938"/>
      <c r="Y46" s="2938"/>
      <c r="Z46" s="2938"/>
      <c r="AA46" s="2938"/>
      <c r="AB46" s="2938"/>
      <c r="AC46" s="2938"/>
      <c r="AD46" s="2938"/>
      <c r="AE46" s="2938"/>
      <c r="AF46" s="2939"/>
      <c r="AG46" s="2937"/>
      <c r="AH46" s="2938"/>
      <c r="AI46" s="2938"/>
      <c r="AJ46" s="2938"/>
      <c r="AK46" s="2938"/>
      <c r="AL46" s="2938"/>
      <c r="AM46" s="2938"/>
      <c r="AN46" s="2938"/>
      <c r="AO46" s="2938"/>
      <c r="AP46" s="2938"/>
      <c r="AQ46" s="2938"/>
      <c r="AR46" s="2939"/>
      <c r="AS46" s="1999" t="s">
        <v>559</v>
      </c>
      <c r="AU46" s="1192"/>
      <c r="AV46" s="1192" t="str">
        <f>IF(T46="","",T46)</f>
        <v>Группа потребителей</v>
      </c>
      <c r="AW46" s="1192"/>
      <c r="AX46" s="1192"/>
      <c r="AY46" s="1847">
        <v>23</v>
      </c>
    </row>
    <row customHeight="1" ht="24">
      <c r="A47" s="2055" t="s">
        <v>331</v>
      </c>
      <c r="B47" s="2055" t="s">
        <v>332</v>
      </c>
      <c r="C47" s="2055" t="s">
        <v>333</v>
      </c>
      <c r="D47" s="2055" t="s">
        <v>617</v>
      </c>
      <c r="E47" s="2951"/>
      <c r="F47" s="2951"/>
      <c r="G47" s="2951"/>
      <c r="H47" s="2951"/>
      <c r="I47" s="2978"/>
      <c r="J47" s="2978"/>
      <c r="K47" s="2948" t="str">
        <f>J46&amp;".1"</f>
        <v>...1.1.1</v>
      </c>
      <c r="L47" s="2056"/>
      <c r="P47" s="2949"/>
      <c r="Q47" s="2949"/>
      <c r="R47" s="1049">
        <v>1</v>
      </c>
      <c r="S47" s="2185" t="str">
        <f>$K47</f>
        <v>...1.1.1</v>
      </c>
      <c r="T47" s="2129"/>
      <c r="U47" s="992"/>
      <c r="V47" s="2052"/>
      <c r="W47" s="2052"/>
      <c r="X47" s="2052"/>
      <c r="Y47" s="2052"/>
      <c r="Z47" s="2052"/>
      <c r="AA47" s="2052"/>
      <c r="AB47" s="2053"/>
      <c r="AC47" s="2959"/>
      <c r="AD47" s="2960" t="s">
        <v>67</v>
      </c>
      <c r="AE47" s="2959"/>
      <c r="AF47" s="2960" t="s">
        <v>67</v>
      </c>
      <c r="AG47" s="1443"/>
      <c r="AH47" s="1443"/>
      <c r="AI47" s="1443"/>
      <c r="AJ47" s="1443"/>
      <c r="AK47" s="1443"/>
      <c r="AL47" s="1443"/>
      <c r="AM47" s="1949"/>
      <c r="AN47" s="2957"/>
      <c r="AO47" s="2799" t="s">
        <v>67</v>
      </c>
      <c r="AP47" s="2979"/>
      <c r="AQ47" s="2799" t="s">
        <v>19</v>
      </c>
      <c r="AR47" s="2130"/>
      <c r="AS47" s="30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203">
        <f>STRCHECKDATE(V48:AR48)</f>
      </c>
      <c r="AU47" s="1192"/>
      <c r="AV47" s="1192" t="str">
        <f>IF(T47="","",T47)</f>
        <v/>
      </c>
      <c r="AW47" s="1192"/>
      <c r="AX47" s="1192"/>
      <c r="AY47" s="1847">
        <v>23</v>
      </c>
    </row>
    <row customHeight="1" ht="0">
      <c r="A48" s="2055" t="s">
        <v>331</v>
      </c>
      <c r="B48" s="2055" t="s">
        <v>332</v>
      </c>
      <c r="C48" s="2055" t="s">
        <v>333</v>
      </c>
      <c r="D48" s="2055" t="s">
        <v>617</v>
      </c>
      <c r="E48" s="2951"/>
      <c r="F48" s="2951"/>
      <c r="G48" s="2951"/>
      <c r="H48" s="2951"/>
      <c r="I48" s="2978"/>
      <c r="J48" s="2978"/>
      <c r="K48" s="2948"/>
      <c r="L48" s="2056"/>
      <c r="P48" s="2949"/>
      <c r="Q48" s="2949"/>
      <c r="R48" s="1049"/>
      <c r="S48" s="2182"/>
      <c r="T48" s="992"/>
      <c r="U48" s="992"/>
      <c r="V48" s="2052"/>
      <c r="W48" s="2052"/>
      <c r="X48" s="2052"/>
      <c r="Y48" s="2052"/>
      <c r="Z48" s="2052"/>
      <c r="AA48" s="2052"/>
      <c r="AB48" s="1020" t="str">
        <f>AC47&amp;"-"&amp;AE47</f>
        <v>-</v>
      </c>
      <c r="AC48" s="2960"/>
      <c r="AD48" s="2960"/>
      <c r="AE48" s="2960"/>
      <c r="AF48" s="2960"/>
      <c r="AG48" s="1017"/>
      <c r="AH48" s="1017"/>
      <c r="AI48" s="1017"/>
      <c r="AJ48" s="1017"/>
      <c r="AK48" s="1017"/>
      <c r="AL48" s="1017"/>
      <c r="AM48" s="1020" t="str">
        <f>AN47&amp;"-"&amp;AP47</f>
        <v>-</v>
      </c>
      <c r="AN48" s="2958"/>
      <c r="AO48" s="2799"/>
      <c r="AP48" s="2980"/>
      <c r="AQ48" s="2799"/>
      <c r="AR48" s="2131"/>
      <c r="AS48" s="3041"/>
      <c r="AU48" s="1192"/>
      <c r="AV48" s="1192" t="str">
        <f>IF(T48="","",T48)</f>
        <v/>
      </c>
      <c r="AW48" s="1192"/>
      <c r="AX48" s="1192"/>
      <c r="AY48" s="1847">
        <v>0</v>
      </c>
    </row>
    <row customHeight="1" ht="21">
      <c r="A49" s="2055" t="s">
        <v>331</v>
      </c>
      <c r="B49" s="2055" t="s">
        <v>332</v>
      </c>
      <c r="C49" s="2055" t="s">
        <v>333</v>
      </c>
      <c r="D49" s="2055" t="s">
        <v>617</v>
      </c>
      <c r="E49" s="2951"/>
      <c r="F49" s="2951"/>
      <c r="G49" s="2951"/>
      <c r="H49" s="2951"/>
      <c r="I49" s="2978"/>
      <c r="J49" s="2948"/>
      <c r="K49" s="2055"/>
      <c r="L49" s="2056"/>
      <c r="P49" s="2949"/>
      <c r="Q49" s="2949"/>
      <c r="R49" s="1048"/>
      <c r="S49" s="1970"/>
      <c r="T49" s="979" t="s">
        <v>560</v>
      </c>
      <c r="U49" s="1059"/>
      <c r="V49" s="1059"/>
      <c r="W49" s="1292"/>
      <c r="X49" s="1292"/>
      <c r="Y49" s="1292"/>
      <c r="Z49" s="1292"/>
      <c r="AA49" s="1292"/>
      <c r="AB49" s="1059"/>
      <c r="AC49" s="1059"/>
      <c r="AD49" s="1059"/>
      <c r="AE49" s="1059"/>
      <c r="AF49" s="1059"/>
      <c r="AG49" s="1059"/>
      <c r="AH49" s="1292"/>
      <c r="AI49" s="1292"/>
      <c r="AJ49" s="1292"/>
      <c r="AK49" s="1292"/>
      <c r="AL49" s="1292"/>
      <c r="AM49" s="1059"/>
      <c r="AN49" s="1059"/>
      <c r="AO49" s="1059"/>
      <c r="AP49" s="1059"/>
      <c r="AQ49" s="1059"/>
      <c r="AR49" s="1059"/>
      <c r="AS49" s="1950" t="s">
        <v>561</v>
      </c>
      <c r="AU49" s="1192"/>
      <c r="AV49" s="1192" t="str">
        <f>IF(T49="","",T49)</f>
        <v>Добавить значение признака дифференциации</v>
      </c>
      <c r="AW49" s="1192"/>
      <c r="AX49" s="1192"/>
      <c r="AY49" s="1847">
        <v>20</v>
      </c>
    </row>
    <row customHeight="1" ht="22.049999999999997">
      <c r="A50" s="2055" t="s">
        <v>331</v>
      </c>
      <c r="B50" s="2055" t="s">
        <v>332</v>
      </c>
      <c r="C50" s="2055" t="s">
        <v>333</v>
      </c>
      <c r="D50" s="2055" t="s">
        <v>617</v>
      </c>
      <c r="E50" s="2951"/>
      <c r="F50" s="2951"/>
      <c r="G50" s="2951"/>
      <c r="H50" s="2951"/>
      <c r="I50" s="2948"/>
      <c r="J50" s="2055"/>
      <c r="K50" s="2055"/>
      <c r="L50" s="2056"/>
      <c r="P50" s="2949"/>
      <c r="Q50" s="2173"/>
      <c r="R50" s="1048"/>
      <c r="S50" s="1970"/>
      <c r="T50" s="1057" t="s">
        <v>487</v>
      </c>
      <c r="U50" s="1059"/>
      <c r="V50" s="1059"/>
      <c r="W50" s="1292"/>
      <c r="X50" s="1292"/>
      <c r="Y50" s="1292"/>
      <c r="Z50" s="1292"/>
      <c r="AA50" s="1292"/>
      <c r="AB50" s="1059"/>
      <c r="AC50" s="1059"/>
      <c r="AD50" s="1059"/>
      <c r="AE50" s="1059"/>
      <c r="AF50" s="1058"/>
      <c r="AG50" s="1059"/>
      <c r="AH50" s="1292"/>
      <c r="AI50" s="1292"/>
      <c r="AJ50" s="1292"/>
      <c r="AK50" s="1292"/>
      <c r="AL50" s="1292"/>
      <c r="AM50" s="1059"/>
      <c r="AN50" s="1059"/>
      <c r="AO50" s="1059"/>
      <c r="AP50" s="1059"/>
      <c r="AQ50" s="1058"/>
      <c r="AR50" s="1059"/>
      <c r="AS50" s="2132"/>
      <c r="AU50" s="1192"/>
      <c r="AV50" s="1192" t="str">
        <f>IF(T50="","",T50)</f>
        <v>Добавить группу потребителей</v>
      </c>
      <c r="AW50" s="1192"/>
      <c r="AX50" s="1192"/>
      <c r="AY50" s="1847">
        <v>21</v>
      </c>
    </row>
    <row customHeight="1" ht="22.049999999999997">
      <c r="A51" s="2055" t="s">
        <v>331</v>
      </c>
      <c r="B51" s="2055" t="s">
        <v>332</v>
      </c>
      <c r="C51" s="2055" t="s">
        <v>333</v>
      </c>
      <c r="D51" s="2055" t="s">
        <v>617</v>
      </c>
      <c r="E51" s="2951"/>
      <c r="F51" s="2951"/>
      <c r="G51" s="2951"/>
      <c r="H51" s="2950"/>
      <c r="I51" s="2055"/>
      <c r="J51" s="2055"/>
      <c r="K51" s="2055"/>
      <c r="L51" s="2056"/>
      <c r="M51" s="2057"/>
      <c r="N51" s="2057"/>
      <c r="O51" s="1229"/>
      <c r="P51" s="1052"/>
      <c r="Q51" s="1067"/>
      <c r="R51" s="1047"/>
      <c r="S51" s="1970"/>
      <c r="T51" s="1064" t="s">
        <v>562</v>
      </c>
      <c r="U51" s="1059"/>
      <c r="V51" s="1059"/>
      <c r="W51" s="1292"/>
      <c r="X51" s="1292"/>
      <c r="Y51" s="1292"/>
      <c r="Z51" s="1292"/>
      <c r="AA51" s="1292"/>
      <c r="AB51" s="1059"/>
      <c r="AC51" s="1059"/>
      <c r="AD51" s="1059"/>
      <c r="AE51" s="1059"/>
      <c r="AF51" s="1058"/>
      <c r="AG51" s="1059"/>
      <c r="AH51" s="1292"/>
      <c r="AI51" s="1292"/>
      <c r="AJ51" s="1292"/>
      <c r="AK51" s="1292"/>
      <c r="AL51" s="1292"/>
      <c r="AM51" s="1059"/>
      <c r="AN51" s="1059"/>
      <c r="AO51" s="1059"/>
      <c r="AP51" s="1059"/>
      <c r="AQ51" s="1058"/>
      <c r="AR51" s="1059"/>
      <c r="AS51" s="995"/>
      <c r="AU51" s="1192"/>
      <c r="AV51" s="1192" t="str">
        <f>IF(T51="","",T51)</f>
        <v>Добавить наименование признака дифференциации</v>
      </c>
      <c r="AW51" s="1192"/>
      <c r="AX51" s="1192"/>
      <c r="AY51" s="1847">
        <v>21</v>
      </c>
    </row>
    <row s="61695" customFormat="1" customHeight="1" ht="0">
      <c r="A52" s="2035" t="s">
        <v>331</v>
      </c>
      <c r="B52" s="2035" t="s">
        <v>332</v>
      </c>
      <c r="C52" s="2006"/>
      <c r="D52" s="2006"/>
      <c r="E52" s="2951"/>
      <c r="F52" s="2950"/>
      <c r="G52" s="2006"/>
      <c r="H52" s="2006"/>
      <c r="I52" s="2006"/>
      <c r="J52" s="2006"/>
      <c r="K52" s="2006"/>
      <c r="L52" s="2186"/>
      <c r="M52" s="2013"/>
      <c r="N52" s="2013"/>
      <c r="P52" s="2008"/>
      <c r="Q52" s="2009"/>
      <c r="R52" s="2008"/>
      <c r="S52" s="2014"/>
      <c r="T52" s="2017" t="s">
        <v>172</v>
      </c>
      <c r="U52" s="2016"/>
      <c r="V52" s="2016"/>
      <c r="W52" s="2016"/>
      <c r="X52" s="2016"/>
      <c r="Y52" s="2016"/>
      <c r="Z52" s="2016"/>
      <c r="AA52" s="2016"/>
      <c r="AB52" s="2016"/>
      <c r="AC52" s="2016"/>
      <c r="AD52" s="2016"/>
      <c r="AE52" s="2016"/>
      <c r="AF52" s="2016"/>
      <c r="AG52" s="2016"/>
      <c r="AH52" s="2016"/>
      <c r="AI52" s="2016"/>
      <c r="AJ52" s="2016"/>
      <c r="AK52" s="2016"/>
      <c r="AL52" s="2016"/>
      <c r="AM52" s="2016"/>
      <c r="AN52" s="2016"/>
      <c r="AO52" s="2016"/>
      <c r="AP52" s="2016"/>
      <c r="AQ52" s="2016"/>
      <c r="AR52" s="2016"/>
      <c r="AS52" s="2016"/>
      <c r="AU52" s="1481"/>
      <c r="AV52" s="1481" t="str">
        <f>IF(T52="","",T52)</f>
        <v>Добавить централизованную систему для дифференциации</v>
      </c>
      <c r="AW52" s="1481"/>
      <c r="AX52" s="1481"/>
      <c r="AY52" s="1210">
        <v>0</v>
      </c>
    </row>
    <row s="61695" customFormat="1" customHeight="1" ht="0">
      <c r="A53" s="2035" t="s">
        <v>331</v>
      </c>
      <c r="B53" s="2035"/>
      <c r="C53" s="2035"/>
      <c r="D53" s="2035"/>
      <c r="E53" s="2950"/>
      <c r="F53" s="2035"/>
      <c r="G53" s="2035"/>
      <c r="H53" s="2035"/>
      <c r="I53" s="2035"/>
      <c r="J53" s="2035"/>
      <c r="K53" s="2035"/>
      <c r="L53" s="2038"/>
      <c r="M53" s="2013"/>
      <c r="N53" s="2013"/>
      <c r="O53" s="1210"/>
      <c r="P53" s="1072"/>
      <c r="Q53" s="2036"/>
      <c r="R53" s="1072"/>
      <c r="S53" s="2014"/>
      <c r="T53" s="2017" t="s">
        <v>173</v>
      </c>
      <c r="U53" s="2016"/>
      <c r="V53" s="2016"/>
      <c r="W53" s="2016"/>
      <c r="X53" s="2016"/>
      <c r="Y53" s="2016"/>
      <c r="Z53" s="2016"/>
      <c r="AA53" s="2016"/>
      <c r="AB53" s="2016"/>
      <c r="AC53" s="2016"/>
      <c r="AD53" s="2016"/>
      <c r="AE53" s="2016"/>
      <c r="AF53" s="2016"/>
      <c r="AG53" s="2016"/>
      <c r="AH53" s="2016"/>
      <c r="AI53" s="2016"/>
      <c r="AJ53" s="2016"/>
      <c r="AK53" s="2016"/>
      <c r="AL53" s="2016"/>
      <c r="AM53" s="2016"/>
      <c r="AN53" s="2016"/>
      <c r="AO53" s="2016"/>
      <c r="AP53" s="2016"/>
      <c r="AQ53" s="2016"/>
      <c r="AR53" s="2016"/>
      <c r="AS53" s="2016"/>
      <c r="AU53" s="1192"/>
      <c r="AV53" s="1192" t="str">
        <f>IF(T53="","",T53)</f>
        <v>Добавить территорию для дифференциации</v>
      </c>
      <c r="AW53" s="1192"/>
      <c r="AX53" s="1192"/>
      <c r="AY53" s="1203">
        <v>0</v>
      </c>
    </row>
    <row s="61695" customFormat="1" customHeight="1" ht="0">
      <c r="A54" s="2006"/>
      <c r="B54" s="2006"/>
      <c r="C54" s="2006"/>
      <c r="D54" s="2006"/>
      <c r="E54" s="2035"/>
      <c r="F54" s="2006"/>
      <c r="G54" s="2006"/>
      <c r="H54" s="2006"/>
      <c r="I54" s="2006"/>
      <c r="J54" s="2006"/>
      <c r="K54" s="2006"/>
      <c r="L54" s="2186"/>
      <c r="M54" s="2013"/>
      <c r="N54" s="2013"/>
      <c r="P54" s="2008"/>
      <c r="Q54" s="2009"/>
      <c r="R54" s="2008"/>
      <c r="S54" s="2014"/>
      <c r="T54" s="2017" t="s">
        <v>186</v>
      </c>
      <c r="U54" s="2016"/>
      <c r="V54" s="2016"/>
      <c r="W54" s="2016"/>
      <c r="X54" s="2016"/>
      <c r="Y54" s="2016"/>
      <c r="Z54" s="2016"/>
      <c r="AA54" s="2016"/>
      <c r="AB54" s="2016"/>
      <c r="AC54" s="2016"/>
      <c r="AD54" s="2016"/>
      <c r="AE54" s="2016"/>
      <c r="AF54" s="2016"/>
      <c r="AG54" s="2016"/>
      <c r="AH54" s="2016"/>
      <c r="AI54" s="2016"/>
      <c r="AJ54" s="2016"/>
      <c r="AK54" s="2016"/>
      <c r="AL54" s="2016"/>
      <c r="AM54" s="2016"/>
      <c r="AN54" s="2016"/>
      <c r="AO54" s="2016"/>
      <c r="AP54" s="2016"/>
      <c r="AQ54" s="2016"/>
      <c r="AR54" s="2016"/>
      <c r="AS54" s="2016"/>
      <c r="AU54" s="1481"/>
      <c r="AV54" s="1481" t="str">
        <f>IF(T54="","",T54)</f>
        <v>Добавить наименование тарифа</v>
      </c>
      <c r="AW54" s="1481"/>
      <c r="AX54" s="1481"/>
      <c r="AY54" s="1210">
        <v>0</v>
      </c>
    </row>
    <row customHeight="1" ht="11.549999999999999">
      <c r="M55" s="1852"/>
      <c r="N55" s="1852"/>
      <c r="O55" s="1229"/>
      <c r="P55" s="1847"/>
      <c r="Q55" s="1847"/>
      <c r="R55" s="1847"/>
      <c r="S55" s="1847"/>
      <c r="AT55" s="1847"/>
      <c r="AU55" s="1847"/>
      <c r="AV55" s="1847"/>
      <c r="AW55" s="1847"/>
      <c r="AX55" s="1847"/>
      <c r="AY55" s="1847">
        <v>11</v>
      </c>
    </row>
    <row customHeight="1" ht="14.699999999999998">
      <c r="O56" s="1229"/>
      <c r="S56" s="1945"/>
      <c r="T56" s="2977"/>
      <c r="U56" s="2977"/>
      <c r="V56" s="2977"/>
      <c r="W56" s="2977"/>
      <c r="X56" s="2977"/>
      <c r="Y56" s="2977"/>
      <c r="Z56" s="2977"/>
      <c r="AA56" s="2977"/>
      <c r="AB56" s="2977"/>
      <c r="AC56" s="2977"/>
      <c r="AD56" s="2977"/>
      <c r="AE56" s="2977"/>
      <c r="AF56" s="2977"/>
      <c r="AG56" s="2977"/>
      <c r="AH56" s="2977"/>
      <c r="AI56" s="2977"/>
      <c r="AJ56" s="2977"/>
      <c r="AK56" s="2977"/>
      <c r="AL56" s="2977"/>
      <c r="AM56" s="2977"/>
      <c r="AN56" s="2977"/>
      <c r="AO56" s="2977"/>
      <c r="AP56" s="2977"/>
      <c r="AQ56" s="2977"/>
      <c r="AR56" s="2977"/>
      <c r="AS56" s="2977"/>
      <c r="AY56" s="1847">
        <v>14</v>
      </c>
    </row>
    <row customHeight="1" ht="14.699999999999998">
      <c r="O57" s="1229"/>
      <c r="AY57" s="1847">
        <v>14</v>
      </c>
    </row>
    <row customHeight="1" ht="14.699999999999998">
      <c r="O58" s="1229"/>
      <c r="S58" s="1945"/>
      <c r="T58" s="2977"/>
      <c r="U58" s="2977"/>
      <c r="V58" s="2977"/>
      <c r="W58" s="2977"/>
      <c r="X58" s="2977"/>
      <c r="Y58" s="2977"/>
      <c r="Z58" s="2977"/>
      <c r="AA58" s="2977"/>
      <c r="AB58" s="2977"/>
      <c r="AC58" s="2977"/>
      <c r="AD58" s="2977"/>
      <c r="AE58" s="2977"/>
      <c r="AF58" s="2977"/>
      <c r="AG58" s="2977"/>
      <c r="AH58" s="2977"/>
      <c r="AI58" s="2977"/>
      <c r="AJ58" s="2977"/>
      <c r="AK58" s="2977"/>
      <c r="AL58" s="2977"/>
      <c r="AM58" s="2977"/>
      <c r="AN58" s="2977"/>
      <c r="AO58" s="2977"/>
      <c r="AP58" s="2977"/>
      <c r="AQ58" s="2977"/>
      <c r="AR58" s="2977"/>
      <c r="AS58" s="2977"/>
      <c r="AY58" s="1847">
        <v>14</v>
      </c>
    </row>
    <row customHeight="1" ht="22.5" hidden="1">
      <c r="A59" s="1852" t="s">
        <v>83</v>
      </c>
      <c r="B59" s="1852">
        <v>0</v>
      </c>
      <c r="C59" s="1852">
        <v>0</v>
      </c>
      <c r="D59" s="1852">
        <v>0</v>
      </c>
      <c r="E59" s="1852">
        <v>0</v>
      </c>
      <c r="F59" s="1852">
        <v>0</v>
      </c>
      <c r="G59" s="1852">
        <v>0</v>
      </c>
      <c r="H59" s="1852">
        <v>0</v>
      </c>
      <c r="I59" s="1852">
        <v>0</v>
      </c>
      <c r="J59" s="1852">
        <v>0</v>
      </c>
      <c r="K59" s="1852">
        <v>0</v>
      </c>
      <c r="L59" s="2170">
        <v>0</v>
      </c>
      <c r="M59" s="2054">
        <v>0</v>
      </c>
      <c r="N59" s="2054">
        <v>0</v>
      </c>
      <c r="O59" s="2054">
        <v>0</v>
      </c>
      <c r="P59" s="2165">
        <v>3</v>
      </c>
      <c r="Q59" s="1036">
        <v>3</v>
      </c>
      <c r="R59" s="1036">
        <v>3</v>
      </c>
      <c r="S59" s="1273">
        <v>12</v>
      </c>
      <c r="T59" s="1847">
        <v>35</v>
      </c>
      <c r="U59" s="1847">
        <v>0</v>
      </c>
      <c r="V59" s="1847">
        <v>0</v>
      </c>
      <c r="W59" s="2323">
        <v>0</v>
      </c>
      <c r="X59" s="2323">
        <v>0</v>
      </c>
      <c r="Y59" s="2323">
        <v>0</v>
      </c>
      <c r="Z59" s="2323">
        <v>0</v>
      </c>
      <c r="AA59" s="2323">
        <v>0</v>
      </c>
      <c r="AB59" s="1847">
        <v>0</v>
      </c>
      <c r="AC59" s="1847">
        <v>0</v>
      </c>
      <c r="AD59" s="1847">
        <v>0</v>
      </c>
      <c r="AE59" s="1847">
        <v>0</v>
      </c>
      <c r="AF59" s="1847">
        <v>0</v>
      </c>
      <c r="AG59" s="1847">
        <v>19</v>
      </c>
      <c r="AH59" s="2323">
        <v>19</v>
      </c>
      <c r="AI59" s="2323">
        <v>19</v>
      </c>
      <c r="AJ59" s="2323">
        <v>19</v>
      </c>
      <c r="AK59" s="2323">
        <v>19</v>
      </c>
      <c r="AL59" s="2323">
        <v>19</v>
      </c>
      <c r="AM59" s="1847">
        <v>19</v>
      </c>
      <c r="AN59" s="1847">
        <v>11</v>
      </c>
      <c r="AO59" s="1847">
        <v>3</v>
      </c>
      <c r="AP59" s="1847">
        <v>11</v>
      </c>
      <c r="AQ59" s="1847">
        <v>0</v>
      </c>
      <c r="AR59" s="1847">
        <v>4</v>
      </c>
      <c r="AS59" s="1847">
        <v>115</v>
      </c>
      <c r="AT59" s="1203">
        <v>10</v>
      </c>
      <c r="AU59" s="1203">
        <v>10</v>
      </c>
      <c r="AV59" s="1203">
        <v>10</v>
      </c>
      <c r="AW59" s="1203">
        <v>10</v>
      </c>
      <c r="AX59" s="1203">
        <v>10</v>
      </c>
      <c r="AY59" s="1847">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8845AB-3EB7-1B56-2DEB-C751C55B17F5}"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62148" width="11.57421875" hidden="1" customWidth="1"/>
    <col min="2" max="2" style="62148" width="11.00390625" hidden="1" customWidth="1"/>
    <col min="3" max="3" style="62148" width="10.57421875" hidden="1"/>
    <col min="4" max="4" style="62148" width="12.8515625" hidden="1" customWidth="1"/>
    <col min="5" max="5" style="62148" width="10.00390625" hidden="1" customWidth="1"/>
    <col min="6" max="6" style="62148" width="8.7109375" hidden="1" customWidth="1"/>
    <col min="7" max="7" style="62148" width="7.57421875" hidden="1" customWidth="1"/>
    <col min="8" max="8" style="62148" width="11.421875" hidden="1" customWidth="1"/>
    <col min="9" max="9" style="62148" width="12.00390625" hidden="1" customWidth="1"/>
    <col min="10" max="10" style="62148" width="9.8515625" hidden="1" customWidth="1"/>
    <col min="11" max="11" style="62148" width="11.421875" hidden="1" customWidth="1"/>
    <col min="12" max="12" style="63164" width="19.140625" hidden="1" customWidth="1"/>
    <col min="13" max="14" style="61371" width="12.28125" hidden="1" customWidth="1"/>
    <col min="15" max="15" style="61371" width="23.421875" hidden="1" customWidth="1"/>
    <col min="16" max="16" style="61371" width="3.7109375" hidden="1" customWidth="1"/>
    <col min="17" max="17" style="61437" width="3.7109375" hidden="1" customWidth="1"/>
    <col min="18" max="18" style="62288" width="3.00390625" customWidth="1"/>
    <col min="19" max="19" style="63156" width="12.00390625" customWidth="1"/>
    <col min="20" max="20" style="62286" width="31.00390625" customWidth="1"/>
    <col min="21" max="21" style="62286" width="0.140625" customWidth="1"/>
    <col min="22" max="25" style="62286" width="21.7109375" hidden="1" customWidth="1"/>
    <col min="26" max="26" style="62286" width="11.7109375" hidden="1" customWidth="1"/>
    <col min="27" max="27" style="62286" width="3.7109375" hidden="1" customWidth="1"/>
    <col min="28" max="28" style="62286" width="11.7109375" hidden="1" customWidth="1"/>
    <col min="29" max="29" style="62286" width="8.57421875" hidden="1" customWidth="1"/>
    <col min="30" max="30" style="62286" width="3.7109375" customWidth="1"/>
    <col min="31" max="32" style="62286" width="3.00390625" customWidth="1"/>
    <col min="33" max="33" style="62286" width="24.00390625" customWidth="1"/>
    <col min="34" max="34" style="62286" width="3.7109375" customWidth="1"/>
    <col min="35" max="36" style="62286" width="3.00390625" customWidth="1"/>
    <col min="37" max="37" style="62286" width="24.00390625" customWidth="1"/>
    <col min="38" max="38" style="62286" width="3.7109375" customWidth="1"/>
    <col min="39" max="40" style="62286" width="3.00390625" customWidth="1"/>
    <col min="41" max="41" style="62286" width="18.00390625" customWidth="1"/>
    <col min="42" max="42" style="62286" width="3.7109375" customWidth="1"/>
    <col min="43" max="44" style="62286" width="3.00390625" customWidth="1"/>
    <col min="45" max="45" style="62286" width="18.00390625" customWidth="1"/>
    <col min="46" max="49" style="62286" width="21.00390625" customWidth="1"/>
    <col min="50" max="50" style="62286" width="11.00390625" customWidth="1"/>
    <col min="51" max="51" style="62286" width="3.7109375" customWidth="1"/>
    <col min="52" max="52" style="62286" width="11.00390625" customWidth="1"/>
    <col min="53" max="53" style="62286" width="8.57421875" hidden="1" customWidth="1"/>
    <col min="54" max="54" style="62286" width="4.00390625" customWidth="1"/>
    <col min="55" max="55" style="62286" width="115.00390625" customWidth="1"/>
    <col min="56" max="60" style="61695" width="10.00390625" customWidth="1"/>
    <col min="61" max="61" style="62286" width="10.57421875" hidden="1"/>
  </cols>
  <sheetData>
    <row customHeight="1" ht="22.5" hidden="1">
      <c r="W1" s="1019"/>
      <c r="Y1" s="1019"/>
      <c r="Z1" s="1019"/>
      <c r="AW1" s="1019"/>
      <c r="AX1" s="1019"/>
      <c r="BI1" s="1847" t="s">
        <v>14</v>
      </c>
    </row>
    <row customHeight="1" ht="21" hidden="1">
      <c r="A2" s="2055"/>
      <c r="B2" s="2055"/>
      <c r="C2" s="2055"/>
      <c r="D2" s="2055"/>
      <c r="E2" s="2950">
        <v>1</v>
      </c>
      <c r="F2" s="2055"/>
      <c r="G2" s="2055"/>
      <c r="H2" s="2055"/>
      <c r="I2" s="2055"/>
      <c r="J2" s="2055"/>
      <c r="K2" s="2055"/>
      <c r="L2" s="2056"/>
      <c r="M2" s="2057"/>
      <c r="N2" s="2057"/>
      <c r="O2" s="2057"/>
      <c r="P2" s="2101"/>
      <c r="Q2" s="1565"/>
      <c r="R2" s="1047"/>
      <c r="S2" s="2185">
        <f>INDEX(PT_DIFFERENTIATION_NUM_NTAR,MATCH(A2,PT_DIFFERENTIATION_NTAR_ID,0))</f>
      </c>
      <c r="T2" s="990" t="s">
        <v>131</v>
      </c>
      <c r="U2" s="992"/>
      <c r="V2" s="2935"/>
      <c r="W2" s="2935"/>
      <c r="X2" s="2935"/>
      <c r="Y2" s="2935"/>
      <c r="Z2" s="2935"/>
      <c r="AA2" s="2935"/>
      <c r="AB2" s="2935"/>
      <c r="AC2" s="2936"/>
      <c r="AD2" s="2934">
        <f>INDEX(PT_DIFFERENTIATION_NTAR,MATCH(A2,PT_DIFFERENTIATION_NTAR_ID,0))</f>
      </c>
      <c r="AE2" s="2935"/>
      <c r="AF2" s="2935"/>
      <c r="AG2" s="2935"/>
      <c r="AH2" s="2935"/>
      <c r="AI2" s="2935"/>
      <c r="AJ2" s="2935"/>
      <c r="AK2" s="2935"/>
      <c r="AL2" s="2935"/>
      <c r="AM2" s="2935"/>
      <c r="AN2" s="2935"/>
      <c r="AO2" s="2935"/>
      <c r="AP2" s="2935"/>
      <c r="AQ2" s="2935"/>
      <c r="AR2" s="2935"/>
      <c r="AS2" s="2935"/>
      <c r="AT2" s="2935"/>
      <c r="AU2" s="2935"/>
      <c r="AV2" s="2935"/>
      <c r="AW2" s="2935"/>
      <c r="AX2" s="2935"/>
      <c r="AY2" s="2935"/>
      <c r="AZ2" s="2935"/>
      <c r="BA2" s="2935"/>
      <c r="BB2" s="2936"/>
      <c r="BC2"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92"/>
      <c r="BF2" s="1192" t="str">
        <f>IF(T2="","",T2)</f>
        <v>Наименование тарифа</v>
      </c>
      <c r="BG2" s="1192"/>
      <c r="BH2" s="1192"/>
      <c r="BI2" s="1847">
        <v>0</v>
      </c>
    </row>
    <row customHeight="1" ht="21" hidden="1">
      <c r="A3" s="2055"/>
      <c r="B3" s="2055"/>
      <c r="C3" s="2055"/>
      <c r="D3" s="2055"/>
      <c r="E3" s="2951"/>
      <c r="F3" s="2950">
        <v>1</v>
      </c>
      <c r="G3" s="2055"/>
      <c r="H3" s="2055"/>
      <c r="I3" s="2055"/>
      <c r="J3" s="2055"/>
      <c r="K3" s="2055"/>
      <c r="L3" s="2056"/>
      <c r="M3" s="2057"/>
      <c r="N3" s="2057"/>
      <c r="O3" s="2057"/>
      <c r="P3" s="2102"/>
      <c r="Q3" s="2103"/>
      <c r="R3" s="1045"/>
      <c r="S3" s="2185">
        <f>INDEX(PT_DIFFERENTIATION_NUM_TER,MATCH(B3,PT_DIFFERENTIATION_TER_ID,0))</f>
      </c>
      <c r="T3" s="1000" t="s">
        <v>472</v>
      </c>
      <c r="U3" s="992"/>
      <c r="V3" s="2935"/>
      <c r="W3" s="2935"/>
      <c r="X3" s="2935"/>
      <c r="Y3" s="2935"/>
      <c r="Z3" s="2935"/>
      <c r="AA3" s="2935"/>
      <c r="AB3" s="2935"/>
      <c r="AC3" s="2936"/>
      <c r="AD3" s="2934">
        <f>INDEX(PT_DIFFERENTIATION_TER,MATCH(B3,PT_DIFFERENTIATION_TER_ID,0))</f>
      </c>
      <c r="AE3" s="2935"/>
      <c r="AF3" s="2935"/>
      <c r="AG3" s="2935"/>
      <c r="AH3" s="2935"/>
      <c r="AI3" s="2935"/>
      <c r="AJ3" s="2935"/>
      <c r="AK3" s="2935"/>
      <c r="AL3" s="2935"/>
      <c r="AM3" s="2935"/>
      <c r="AN3" s="2935"/>
      <c r="AO3" s="2935"/>
      <c r="AP3" s="2935"/>
      <c r="AQ3" s="2935"/>
      <c r="AR3" s="2935"/>
      <c r="AS3" s="2935"/>
      <c r="AT3" s="2935"/>
      <c r="AU3" s="2935"/>
      <c r="AV3" s="2935"/>
      <c r="AW3" s="2935"/>
      <c r="AX3" s="2935"/>
      <c r="AY3" s="2935"/>
      <c r="AZ3" s="2935"/>
      <c r="BA3" s="2935"/>
      <c r="BB3" s="2936"/>
      <c r="BC3" s="1950" t="s">
        <v>473</v>
      </c>
      <c r="BE3" s="1192"/>
      <c r="BF3" s="1192" t="str">
        <f>IF(T3="","",T3)</f>
        <v>Территория действия тарифа</v>
      </c>
      <c r="BG3" s="1192"/>
      <c r="BH3" s="1192"/>
      <c r="BI3" s="1847">
        <v>0</v>
      </c>
    </row>
    <row customHeight="1" ht="33.75" hidden="1">
      <c r="A4" s="2055"/>
      <c r="B4" s="2055"/>
      <c r="C4" s="2055"/>
      <c r="D4" s="2055"/>
      <c r="E4" s="2951"/>
      <c r="F4" s="2951"/>
      <c r="G4" s="2950">
        <v>1</v>
      </c>
      <c r="H4" s="2055"/>
      <c r="I4" s="2055"/>
      <c r="J4" s="2055"/>
      <c r="K4" s="2055"/>
      <c r="L4" s="2056"/>
      <c r="M4" s="2057"/>
      <c r="N4" s="2057"/>
      <c r="O4" s="2057"/>
      <c r="P4" s="2104"/>
      <c r="Q4" s="2103"/>
      <c r="R4" s="1045"/>
      <c r="S4" s="2185">
        <f>INDEX(PT_DIFFERENTIATION_NUM_CS,MATCH(C4,PT_DIFFERENTIATION_CS_ID,0))</f>
      </c>
      <c r="T4" s="1001" t="s">
        <v>604</v>
      </c>
      <c r="U4" s="992"/>
      <c r="V4" s="2935"/>
      <c r="W4" s="2935"/>
      <c r="X4" s="2935"/>
      <c r="Y4" s="2935"/>
      <c r="Z4" s="2935"/>
      <c r="AA4" s="2935"/>
      <c r="AB4" s="2935"/>
      <c r="AC4" s="2936"/>
      <c r="AD4" s="2934">
        <f>INDEX(PT_DIFFERENTIATION_CS,MATCH(C4,PT_DIFFERENTIATION_CS_ID,0))</f>
      </c>
      <c r="AE4" s="2935"/>
      <c r="AF4" s="2935"/>
      <c r="AG4" s="2935"/>
      <c r="AH4" s="2935"/>
      <c r="AI4" s="2935"/>
      <c r="AJ4" s="2935"/>
      <c r="AK4" s="2935"/>
      <c r="AL4" s="2935"/>
      <c r="AM4" s="2935"/>
      <c r="AN4" s="2935"/>
      <c r="AO4" s="2935"/>
      <c r="AP4" s="2935"/>
      <c r="AQ4" s="2935"/>
      <c r="AR4" s="2935"/>
      <c r="AS4" s="2935"/>
      <c r="AT4" s="2935"/>
      <c r="AU4" s="2935"/>
      <c r="AV4" s="2935"/>
      <c r="AW4" s="2935"/>
      <c r="AX4" s="2935"/>
      <c r="AY4" s="2935"/>
      <c r="AZ4" s="2935"/>
      <c r="BA4" s="2935"/>
      <c r="BB4" s="2936"/>
      <c r="BC4" s="1950" t="s">
        <v>605</v>
      </c>
      <c r="BE4" s="1192"/>
      <c r="BF4" s="1192" t="str">
        <f>IF(T4="","",T4)</f>
        <v>Наименование централизованной системы горячего водоснабжения</v>
      </c>
      <c r="BG4" s="1192"/>
      <c r="BH4" s="1192"/>
      <c r="BI4" s="1847">
        <v>0</v>
      </c>
    </row>
    <row s="61695" customFormat="1" customHeight="1" ht="14.25" hidden="1">
      <c r="A5" s="2035"/>
      <c r="B5" s="2035"/>
      <c r="C5" s="2035"/>
      <c r="D5" s="2035"/>
      <c r="E5" s="2951"/>
      <c r="F5" s="2951"/>
      <c r="G5" s="2951"/>
      <c r="H5" s="2950">
        <v>1</v>
      </c>
      <c r="I5" s="2035"/>
      <c r="J5" s="2035"/>
      <c r="K5" s="2035"/>
      <c r="L5" s="2038"/>
      <c r="M5" s="2007"/>
      <c r="N5" s="2007"/>
      <c r="O5" s="2007"/>
      <c r="P5" s="2189"/>
      <c r="Q5" s="2190"/>
      <c r="R5" s="1049"/>
      <c r="S5" s="1734"/>
      <c r="T5" s="2191"/>
      <c r="U5" s="2076"/>
      <c r="V5" s="2989"/>
      <c r="W5" s="2989"/>
      <c r="X5" s="2989"/>
      <c r="Y5" s="2989"/>
      <c r="Z5" s="2989"/>
      <c r="AA5" s="2989"/>
      <c r="AB5" s="2989"/>
      <c r="AC5" s="2990"/>
      <c r="AD5" s="2988"/>
      <c r="AE5" s="2989"/>
      <c r="AF5" s="2989"/>
      <c r="AG5" s="2989"/>
      <c r="AH5" s="2989"/>
      <c r="AI5" s="2989"/>
      <c r="AJ5" s="2989"/>
      <c r="AK5" s="2989"/>
      <c r="AL5" s="2989"/>
      <c r="AM5" s="2989"/>
      <c r="AN5" s="2989"/>
      <c r="AO5" s="2989"/>
      <c r="AP5" s="2989"/>
      <c r="AQ5" s="2989"/>
      <c r="AR5" s="2989"/>
      <c r="AS5" s="2989"/>
      <c r="AT5" s="2989"/>
      <c r="AU5" s="2989"/>
      <c r="AV5" s="2989"/>
      <c r="AW5" s="2989"/>
      <c r="AX5" s="2989"/>
      <c r="AY5" s="2989"/>
      <c r="AZ5" s="2989"/>
      <c r="BA5" s="2989"/>
      <c r="BB5" s="2990"/>
      <c r="BC5" s="2077" t="s">
        <v>477</v>
      </c>
      <c r="BE5" s="1192"/>
      <c r="BF5" s="1192" t="str">
        <f>IF(T5="","",T5)</f>
        <v/>
      </c>
      <c r="BG5" s="1192"/>
      <c r="BH5" s="1192"/>
      <c r="BI5" s="1203">
        <v>0</v>
      </c>
    </row>
    <row s="61695" customFormat="1" customHeight="1" ht="14.25" hidden="1">
      <c r="A6" s="2035"/>
      <c r="B6" s="2035"/>
      <c r="C6" s="2035"/>
      <c r="D6" s="2035"/>
      <c r="E6" s="2951"/>
      <c r="F6" s="2951"/>
      <c r="G6" s="2951"/>
      <c r="H6" s="2951"/>
      <c r="I6" s="2948" t="str">
        <f>S5&amp;".1"</f>
        <v>.1</v>
      </c>
      <c r="J6" s="2035"/>
      <c r="K6" s="2035"/>
      <c r="L6" s="2038" t="s">
        <v>478</v>
      </c>
      <c r="M6" s="1202"/>
      <c r="N6" s="1202"/>
      <c r="O6" s="1202"/>
      <c r="P6" s="2949">
        <v>1</v>
      </c>
      <c r="Q6" s="2173"/>
      <c r="R6" s="1048"/>
      <c r="S6" s="1734"/>
      <c r="T6" s="2075"/>
      <c r="U6" s="2076"/>
      <c r="V6" s="2989"/>
      <c r="W6" s="2989"/>
      <c r="X6" s="2989"/>
      <c r="Y6" s="2989"/>
      <c r="Z6" s="2989"/>
      <c r="AA6" s="2989"/>
      <c r="AB6" s="2989"/>
      <c r="AC6" s="2990"/>
      <c r="AD6" s="2988"/>
      <c r="AE6" s="2989"/>
      <c r="AF6" s="2989"/>
      <c r="AG6" s="2989"/>
      <c r="AH6" s="2989"/>
      <c r="AI6" s="2989"/>
      <c r="AJ6" s="2989"/>
      <c r="AK6" s="2989"/>
      <c r="AL6" s="2989"/>
      <c r="AM6" s="2989"/>
      <c r="AN6" s="2989"/>
      <c r="AO6" s="2989"/>
      <c r="AP6" s="2989"/>
      <c r="AQ6" s="2989"/>
      <c r="AR6" s="2989"/>
      <c r="AS6" s="2989"/>
      <c r="AT6" s="2989"/>
      <c r="AU6" s="2989"/>
      <c r="AV6" s="2989"/>
      <c r="AW6" s="2989"/>
      <c r="AX6" s="2989"/>
      <c r="AY6" s="2989"/>
      <c r="AZ6" s="2989"/>
      <c r="BA6" s="2989"/>
      <c r="BB6" s="2990"/>
      <c r="BC6" s="2077"/>
      <c r="BE6" s="1192"/>
      <c r="BF6" s="1192" t="str">
        <f>IF(T6="","",T6)</f>
        <v/>
      </c>
      <c r="BG6" s="1192"/>
      <c r="BH6" s="1192"/>
      <c r="BI6" s="1203">
        <v>0</v>
      </c>
    </row>
    <row s="61695" customFormat="1" customHeight="1" ht="14.25" hidden="1">
      <c r="A7" s="2035"/>
      <c r="B7" s="2035"/>
      <c r="C7" s="2035"/>
      <c r="D7" s="2035"/>
      <c r="E7" s="2951"/>
      <c r="F7" s="2951"/>
      <c r="G7" s="2951"/>
      <c r="H7" s="2951"/>
      <c r="I7" s="2978"/>
      <c r="J7" s="2948" t="str">
        <f>S5&amp;".1"</f>
        <v>.1</v>
      </c>
      <c r="K7" s="2035"/>
      <c r="L7" s="2038"/>
      <c r="M7" s="1202"/>
      <c r="N7" s="1202"/>
      <c r="O7" s="1202"/>
      <c r="P7" s="2949"/>
      <c r="Q7" s="2949">
        <v>1</v>
      </c>
      <c r="R7" s="1049"/>
      <c r="S7" s="1734"/>
      <c r="T7" s="2091"/>
      <c r="U7" s="2076"/>
      <c r="V7" s="2989"/>
      <c r="W7" s="2989"/>
      <c r="X7" s="2989"/>
      <c r="Y7" s="2989"/>
      <c r="Z7" s="2989"/>
      <c r="AA7" s="2989"/>
      <c r="AB7" s="2989"/>
      <c r="AC7" s="2990"/>
      <c r="AD7" s="2988"/>
      <c r="AE7" s="2989"/>
      <c r="AF7" s="2989"/>
      <c r="AG7" s="2989"/>
      <c r="AH7" s="2989"/>
      <c r="AI7" s="2989"/>
      <c r="AJ7" s="2989"/>
      <c r="AK7" s="2989"/>
      <c r="AL7" s="2989"/>
      <c r="AM7" s="2989"/>
      <c r="AN7" s="2989"/>
      <c r="AO7" s="2989"/>
      <c r="AP7" s="2989"/>
      <c r="AQ7" s="2989"/>
      <c r="AR7" s="2989"/>
      <c r="AS7" s="2989"/>
      <c r="AT7" s="2989"/>
      <c r="AU7" s="2989"/>
      <c r="AV7" s="2989"/>
      <c r="AW7" s="2989"/>
      <c r="AX7" s="2989"/>
      <c r="AY7" s="2989"/>
      <c r="AZ7" s="2989"/>
      <c r="BA7" s="2989"/>
      <c r="BB7" s="2990"/>
      <c r="BC7" s="2077"/>
      <c r="BE7" s="1192"/>
      <c r="BF7" s="1192" t="str">
        <f>IF(T7="","",T7)</f>
        <v/>
      </c>
      <c r="BG7" s="1192"/>
      <c r="BH7" s="1192"/>
      <c r="BI7" s="1203">
        <v>0</v>
      </c>
    </row>
    <row customHeight="1" ht="11.25" hidden="1">
      <c r="A8" s="2055"/>
      <c r="B8" s="2055"/>
      <c r="C8" s="2055"/>
      <c r="D8" s="2055"/>
      <c r="E8" s="2951"/>
      <c r="F8" s="2951"/>
      <c r="G8" s="2951"/>
      <c r="H8" s="2951"/>
      <c r="I8" s="2978"/>
      <c r="J8" s="2978"/>
      <c r="K8" s="2948">
        <f>S4&amp;".1"</f>
      </c>
      <c r="L8" s="2056"/>
      <c r="P8" s="2949"/>
      <c r="Q8" s="2949"/>
      <c r="R8" s="3039">
        <v>1</v>
      </c>
      <c r="S8" s="3033">
        <f>$K8</f>
      </c>
      <c r="T8" s="3052"/>
      <c r="U8" s="992"/>
      <c r="V8" s="1443"/>
      <c r="W8" s="1949"/>
      <c r="X8" s="1443"/>
      <c r="Y8" s="1949"/>
      <c r="Z8" s="2426"/>
      <c r="AA8" s="2161" t="s">
        <v>67</v>
      </c>
      <c r="AB8" s="2426"/>
      <c r="AC8" s="2161" t="s">
        <v>67</v>
      </c>
      <c r="AD8" s="2877" t="s">
        <v>67</v>
      </c>
      <c r="AE8" s="3018"/>
      <c r="AF8" s="2897">
        <v>1</v>
      </c>
      <c r="AG8" s="3055"/>
      <c r="AH8" s="2799" t="s">
        <v>67</v>
      </c>
      <c r="AI8" s="3018"/>
      <c r="AJ8" s="2897">
        <v>1</v>
      </c>
      <c r="AK8" s="3019" t="s">
        <v>28</v>
      </c>
      <c r="AL8" s="2799" t="s">
        <v>67</v>
      </c>
      <c r="AM8" s="2884"/>
      <c r="AN8" s="2897">
        <v>1</v>
      </c>
      <c r="AO8" s="3049"/>
      <c r="AP8" s="3050" t="s">
        <v>67</v>
      </c>
      <c r="AQ8" s="1003"/>
      <c r="AR8" s="2178">
        <v>1</v>
      </c>
      <c r="AS8" s="2184" t="s">
        <v>28</v>
      </c>
      <c r="AT8" s="1443"/>
      <c r="AU8" s="1949"/>
      <c r="AV8" s="1443"/>
      <c r="AW8" s="1949"/>
      <c r="AX8" s="2426"/>
      <c r="AY8" s="2161" t="s">
        <v>67</v>
      </c>
      <c r="AZ8" s="2426"/>
      <c r="BA8" s="2161" t="s">
        <v>67</v>
      </c>
      <c r="BB8" s="2040"/>
      <c r="BC8" s="2945" t="s">
        <v>575</v>
      </c>
      <c r="BE8" s="1192"/>
      <c r="BF8" s="1192" t="str">
        <f>IF(T8="","",T8)</f>
        <v/>
      </c>
      <c r="BG8" s="1192"/>
      <c r="BH8" s="1192"/>
      <c r="BI8" s="1847">
        <v>0</v>
      </c>
    </row>
    <row customHeight="1" ht="11.25" hidden="1">
      <c r="A9" s="2055"/>
      <c r="B9" s="2055"/>
      <c r="C9" s="2055"/>
      <c r="D9" s="2055"/>
      <c r="E9" s="2951"/>
      <c r="F9" s="2951"/>
      <c r="G9" s="2951"/>
      <c r="H9" s="2951"/>
      <c r="I9" s="2978"/>
      <c r="J9" s="2978"/>
      <c r="K9" s="2948"/>
      <c r="L9" s="2056"/>
      <c r="P9" s="2949"/>
      <c r="Q9" s="2949"/>
      <c r="R9" s="3039"/>
      <c r="S9" s="3034"/>
      <c r="T9" s="3053"/>
      <c r="U9" s="992"/>
      <c r="V9" s="2085"/>
      <c r="W9" s="2188"/>
      <c r="X9" s="2085"/>
      <c r="Y9" s="2188"/>
      <c r="Z9" s="2085"/>
      <c r="AA9" s="2085"/>
      <c r="AB9" s="2085"/>
      <c r="AC9" s="2085"/>
      <c r="AD9" s="2878"/>
      <c r="AE9" s="3018"/>
      <c r="AF9" s="2897"/>
      <c r="AG9" s="3055"/>
      <c r="AH9" s="2799"/>
      <c r="AI9" s="3018"/>
      <c r="AJ9" s="2897"/>
      <c r="AK9" s="3019"/>
      <c r="AL9" s="2799"/>
      <c r="AM9" s="2892"/>
      <c r="AN9" s="2897"/>
      <c r="AO9" s="3049"/>
      <c r="AP9" s="3051"/>
      <c r="AQ9" s="1008"/>
      <c r="AR9" s="1108"/>
      <c r="AS9" s="1108" t="s">
        <v>576</v>
      </c>
      <c r="AT9" s="2085"/>
      <c r="AU9" s="2188"/>
      <c r="AV9" s="2085"/>
      <c r="AW9" s="2188"/>
      <c r="AX9" s="2085"/>
      <c r="AY9" s="2085"/>
      <c r="AZ9" s="2085"/>
      <c r="BA9" s="2085"/>
      <c r="BB9" s="2089"/>
      <c r="BC9" s="2946"/>
      <c r="BE9" s="1192"/>
      <c r="BF9" s="1192"/>
      <c r="BG9" s="1192"/>
      <c r="BH9" s="1192"/>
      <c r="BI9" s="1847">
        <v>0</v>
      </c>
    </row>
    <row customHeight="1" ht="11.25" hidden="1">
      <c r="A10" s="2055"/>
      <c r="B10" s="2055"/>
      <c r="C10" s="2055"/>
      <c r="D10" s="2055"/>
      <c r="E10" s="2951"/>
      <c r="F10" s="2951"/>
      <c r="G10" s="2951"/>
      <c r="H10" s="2951"/>
      <c r="I10" s="2978"/>
      <c r="J10" s="2978"/>
      <c r="K10" s="2948"/>
      <c r="L10" s="2056"/>
      <c r="P10" s="2949"/>
      <c r="Q10" s="2949"/>
      <c r="R10" s="3039"/>
      <c r="S10" s="3034"/>
      <c r="T10" s="3053"/>
      <c r="U10" s="992"/>
      <c r="V10" s="2085"/>
      <c r="W10" s="2188"/>
      <c r="X10" s="2085"/>
      <c r="Y10" s="2188"/>
      <c r="Z10" s="2085"/>
      <c r="AA10" s="2085"/>
      <c r="AB10" s="2085"/>
      <c r="AC10" s="2085"/>
      <c r="AD10" s="2878"/>
      <c r="AE10" s="3018"/>
      <c r="AF10" s="2897"/>
      <c r="AG10" s="3055"/>
      <c r="AH10" s="2799"/>
      <c r="AI10" s="3018"/>
      <c r="AJ10" s="2897"/>
      <c r="AK10" s="3019"/>
      <c r="AL10" s="2799"/>
      <c r="AM10" s="1008"/>
      <c r="AN10" s="2192"/>
      <c r="AO10" s="2192" t="s">
        <v>577</v>
      </c>
      <c r="AP10" s="1108"/>
      <c r="AQ10" s="1108"/>
      <c r="AR10" s="1108"/>
      <c r="AS10" s="2085"/>
      <c r="AT10" s="2085"/>
      <c r="AU10" s="2188"/>
      <c r="AV10" s="2085"/>
      <c r="AW10" s="2188"/>
      <c r="AX10" s="2085"/>
      <c r="AY10" s="2085"/>
      <c r="AZ10" s="2085"/>
      <c r="BA10" s="2085"/>
      <c r="BB10" s="2089"/>
      <c r="BC10" s="2946"/>
      <c r="BE10" s="1192"/>
      <c r="BF10" s="1192"/>
      <c r="BG10" s="1192"/>
      <c r="BH10" s="1192"/>
      <c r="BI10" s="1847">
        <v>0</v>
      </c>
    </row>
    <row customHeight="1" ht="11.25" hidden="1">
      <c r="A11" s="2055"/>
      <c r="B11" s="2055"/>
      <c r="C11" s="2055"/>
      <c r="D11" s="2055"/>
      <c r="E11" s="2951"/>
      <c r="F11" s="2951"/>
      <c r="G11" s="2951"/>
      <c r="H11" s="2951"/>
      <c r="I11" s="2978"/>
      <c r="J11" s="2978"/>
      <c r="K11" s="2948"/>
      <c r="L11" s="2056"/>
      <c r="P11" s="2949"/>
      <c r="Q11" s="2949"/>
      <c r="R11" s="3039"/>
      <c r="S11" s="3034"/>
      <c r="T11" s="3053"/>
      <c r="U11" s="992"/>
      <c r="V11" s="2085"/>
      <c r="W11" s="2188"/>
      <c r="X11" s="2085"/>
      <c r="Y11" s="2188"/>
      <c r="Z11" s="2085"/>
      <c r="AA11" s="2085"/>
      <c r="AB11" s="2085"/>
      <c r="AC11" s="2085"/>
      <c r="AD11" s="2878"/>
      <c r="AE11" s="3018"/>
      <c r="AF11" s="2897"/>
      <c r="AG11" s="3055"/>
      <c r="AH11" s="2799"/>
      <c r="AI11" s="986"/>
      <c r="AJ11" s="1107"/>
      <c r="AK11" s="1005" t="s">
        <v>578</v>
      </c>
      <c r="AL11" s="2085"/>
      <c r="AM11" s="2085"/>
      <c r="AN11" s="2085"/>
      <c r="AO11" s="2085"/>
      <c r="AP11" s="2085"/>
      <c r="AQ11" s="2085"/>
      <c r="AR11" s="2085"/>
      <c r="AS11" s="2085"/>
      <c r="AT11" s="2085"/>
      <c r="AU11" s="2188"/>
      <c r="AV11" s="2085"/>
      <c r="AW11" s="2188"/>
      <c r="AX11" s="2085"/>
      <c r="AY11" s="2085"/>
      <c r="AZ11" s="2085"/>
      <c r="BA11" s="2085"/>
      <c r="BB11" s="2089"/>
      <c r="BC11" s="2946"/>
      <c r="BE11" s="1192"/>
      <c r="BF11" s="1192"/>
      <c r="BG11" s="1192"/>
      <c r="BH11" s="1192"/>
      <c r="BI11" s="1847">
        <v>0</v>
      </c>
    </row>
    <row customHeight="1" ht="11.25" hidden="1">
      <c r="A12" s="2055"/>
      <c r="B12" s="2055"/>
      <c r="C12" s="2055"/>
      <c r="D12" s="2055"/>
      <c r="E12" s="2951"/>
      <c r="F12" s="2951"/>
      <c r="G12" s="2951"/>
      <c r="H12" s="2951"/>
      <c r="I12" s="2978"/>
      <c r="J12" s="2978"/>
      <c r="K12" s="2948"/>
      <c r="L12" s="2056"/>
      <c r="P12" s="2949"/>
      <c r="Q12" s="2949"/>
      <c r="R12" s="3039"/>
      <c r="S12" s="3035"/>
      <c r="T12" s="3054"/>
      <c r="U12" s="992"/>
      <c r="V12" s="2085"/>
      <c r="W12" s="2086" t="str">
        <f>Z8&amp;"-"&amp;AB8</f>
        <v>-</v>
      </c>
      <c r="X12" s="2085"/>
      <c r="Y12" s="2086" t="str">
        <f>AB8&amp;"-"&amp;AD8</f>
        <v>-да</v>
      </c>
      <c r="Z12" s="2085"/>
      <c r="AA12" s="2085"/>
      <c r="AB12" s="2085"/>
      <c r="AC12" s="2085"/>
      <c r="AD12" s="2804"/>
      <c r="AE12" s="1004"/>
      <c r="AF12" s="1006"/>
      <c r="AG12" s="1108" t="s">
        <v>579</v>
      </c>
      <c r="AH12" s="2085"/>
      <c r="AI12" s="2085"/>
      <c r="AJ12" s="2085"/>
      <c r="AK12" s="2085"/>
      <c r="AL12" s="2085"/>
      <c r="AM12" s="2085"/>
      <c r="AN12" s="2085"/>
      <c r="AO12" s="2085"/>
      <c r="AP12" s="2085"/>
      <c r="AQ12" s="2085"/>
      <c r="AR12" s="2085"/>
      <c r="AS12" s="2085"/>
      <c r="AT12" s="2085"/>
      <c r="AU12" s="2086" t="str">
        <f>AX8&amp;"-"&amp;AZ8</f>
        <v>-</v>
      </c>
      <c r="AV12" s="2085"/>
      <c r="AW12" s="2086" t="str">
        <f>AZ8&amp;"-"&amp;BB8</f>
        <v>-</v>
      </c>
      <c r="AX12" s="2085"/>
      <c r="AY12" s="2085"/>
      <c r="AZ12" s="2085"/>
      <c r="BA12" s="2085"/>
      <c r="BB12" s="2088" t="str">
        <f>BE8&amp;"-"&amp;BG8</f>
        <v>-</v>
      </c>
      <c r="BC12" s="2946"/>
      <c r="BE12" s="1192"/>
      <c r="BF12" s="1192" t="str">
        <f>IF(T12="","",T12)</f>
        <v/>
      </c>
      <c r="BG12" s="1192"/>
      <c r="BH12" s="1192"/>
      <c r="BI12" s="1847">
        <v>0</v>
      </c>
    </row>
    <row customHeight="1" ht="11.25" hidden="1">
      <c r="A13" s="2055"/>
      <c r="B13" s="2055"/>
      <c r="C13" s="2055"/>
      <c r="D13" s="2055"/>
      <c r="E13" s="2951"/>
      <c r="F13" s="2951"/>
      <c r="G13" s="2951"/>
      <c r="H13" s="2951"/>
      <c r="I13" s="2978"/>
      <c r="J13" s="2948"/>
      <c r="K13" s="2055"/>
      <c r="L13" s="2056"/>
      <c r="P13" s="2949"/>
      <c r="Q13" s="2949"/>
      <c r="R13" s="1048"/>
      <c r="S13" s="1970"/>
      <c r="T13" s="979" t="s">
        <v>542</v>
      </c>
      <c r="U13" s="1059"/>
      <c r="V13" s="1059"/>
      <c r="W13" s="1059"/>
      <c r="X13" s="1059"/>
      <c r="Y13" s="1059"/>
      <c r="Z13" s="1059"/>
      <c r="AA13" s="1059"/>
      <c r="AB13" s="1059"/>
      <c r="AC13" s="1059"/>
      <c r="AD13" s="2197"/>
      <c r="AE13" s="1059"/>
      <c r="AF13" s="1059"/>
      <c r="AG13" s="1059"/>
      <c r="AH13" s="1059"/>
      <c r="AI13" s="1059"/>
      <c r="AJ13" s="1059"/>
      <c r="AK13" s="1059"/>
      <c r="AL13" s="1059"/>
      <c r="AM13" s="1059"/>
      <c r="AN13" s="1059"/>
      <c r="AO13" s="1059"/>
      <c r="AP13" s="1059"/>
      <c r="AQ13" s="1059"/>
      <c r="AR13" s="1059"/>
      <c r="AS13" s="1059"/>
      <c r="AT13" s="1059"/>
      <c r="AU13" s="1059"/>
      <c r="AV13" s="1059"/>
      <c r="AW13" s="1059"/>
      <c r="AX13" s="1059"/>
      <c r="AY13" s="1059"/>
      <c r="AZ13" s="1059"/>
      <c r="BA13" s="1059"/>
      <c r="BB13" s="1016"/>
      <c r="BC13" s="2947"/>
      <c r="BE13" s="1192"/>
      <c r="BF13" s="1192" t="str">
        <f>IF(T13="","",T13)</f>
        <v>Добавить строку</v>
      </c>
      <c r="BG13" s="1192"/>
      <c r="BH13" s="1192"/>
      <c r="BI13" s="1847">
        <v>0</v>
      </c>
    </row>
    <row s="61695" customFormat="1" customHeight="1" ht="14.25" hidden="1">
      <c r="A14" s="2035"/>
      <c r="B14" s="2035"/>
      <c r="C14" s="2035"/>
      <c r="D14" s="2035"/>
      <c r="E14" s="2951"/>
      <c r="F14" s="2951"/>
      <c r="G14" s="2951"/>
      <c r="H14" s="2951"/>
      <c r="I14" s="2948"/>
      <c r="J14" s="2035"/>
      <c r="K14" s="2035"/>
      <c r="L14" s="2038"/>
      <c r="M14" s="1202"/>
      <c r="N14" s="1202"/>
      <c r="O14" s="1202"/>
      <c r="P14" s="2949"/>
      <c r="Q14" s="2173"/>
      <c r="R14" s="1048"/>
      <c r="S14" s="2078"/>
      <c r="T14" s="2079"/>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c r="AP14" s="2080"/>
      <c r="AQ14" s="2080"/>
      <c r="AR14" s="2080"/>
      <c r="AS14" s="2080"/>
      <c r="AT14" s="2080"/>
      <c r="AU14" s="2080"/>
      <c r="AV14" s="2080"/>
      <c r="AW14" s="2080"/>
      <c r="AX14" s="2080"/>
      <c r="AY14" s="2080"/>
      <c r="AZ14" s="2080"/>
      <c r="BA14" s="2080"/>
      <c r="BB14" s="2080"/>
      <c r="BC14" s="2081"/>
      <c r="BE14" s="1192"/>
      <c r="BF14" s="1192" t="str">
        <f>IF(T14="","",T14)</f>
        <v/>
      </c>
      <c r="BG14" s="1192"/>
      <c r="BH14" s="1192"/>
      <c r="BI14" s="1203">
        <v>0</v>
      </c>
    </row>
    <row s="61695" customFormat="1" customHeight="1" ht="14.25" hidden="1">
      <c r="A15" s="2035"/>
      <c r="B15" s="2035"/>
      <c r="C15" s="2035"/>
      <c r="D15" s="2035"/>
      <c r="E15" s="2951"/>
      <c r="F15" s="2951"/>
      <c r="G15" s="2951"/>
      <c r="H15" s="2950"/>
      <c r="I15" s="2035"/>
      <c r="J15" s="2035"/>
      <c r="K15" s="2035"/>
      <c r="L15" s="2038"/>
      <c r="M15" s="2007"/>
      <c r="N15" s="2007"/>
      <c r="O15" s="1210"/>
      <c r="P15" s="1072"/>
      <c r="Q15" s="2036"/>
      <c r="R15" s="2093"/>
      <c r="S15" s="2078"/>
      <c r="T15" s="2079"/>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c r="AP15" s="2080"/>
      <c r="AQ15" s="2080"/>
      <c r="AR15" s="2080"/>
      <c r="AS15" s="2080"/>
      <c r="AT15" s="2080"/>
      <c r="AU15" s="2080"/>
      <c r="AV15" s="2080"/>
      <c r="AW15" s="2080"/>
      <c r="AX15" s="2080"/>
      <c r="AY15" s="2080"/>
      <c r="AZ15" s="2080"/>
      <c r="BA15" s="2080"/>
      <c r="BB15" s="2080"/>
      <c r="BC15" s="2081"/>
      <c r="BE15" s="1192"/>
      <c r="BF15" s="1192" t="str">
        <f>IF(T15="","",T15)</f>
        <v/>
      </c>
      <c r="BG15" s="1192"/>
      <c r="BH15" s="1192"/>
      <c r="BI15" s="1203">
        <v>0</v>
      </c>
    </row>
    <row s="61695" customFormat="1" customHeight="1" ht="14.25" hidden="1">
      <c r="A16" s="2035"/>
      <c r="B16" s="2035"/>
      <c r="C16" s="2035"/>
      <c r="D16" s="2006"/>
      <c r="E16" s="2951"/>
      <c r="F16" s="2951"/>
      <c r="G16" s="2950"/>
      <c r="H16" s="2006"/>
      <c r="I16" s="2006"/>
      <c r="J16" s="2006"/>
      <c r="K16" s="2006"/>
      <c r="L16" s="2186"/>
      <c r="M16" s="2007"/>
      <c r="N16" s="2007"/>
      <c r="P16" s="2008"/>
      <c r="Q16" s="2009"/>
      <c r="R16" s="2008"/>
      <c r="S16" s="2014"/>
      <c r="T16" s="2017"/>
      <c r="U16" s="2016"/>
      <c r="V16" s="2016"/>
      <c r="W16" s="2016"/>
      <c r="X16" s="2016"/>
      <c r="Y16" s="2016"/>
      <c r="Z16" s="2016"/>
      <c r="AA16" s="2016"/>
      <c r="AB16" s="2016"/>
      <c r="AC16" s="2016"/>
      <c r="AD16" s="2016"/>
      <c r="AE16" s="2016"/>
      <c r="AF16" s="2016"/>
      <c r="AG16" s="2016"/>
      <c r="AH16" s="2016"/>
      <c r="AI16" s="2016"/>
      <c r="AJ16" s="2016"/>
      <c r="AK16" s="2016"/>
      <c r="AL16" s="2016"/>
      <c r="AM16" s="2016"/>
      <c r="AN16" s="2016"/>
      <c r="AO16" s="2016"/>
      <c r="AP16" s="2016"/>
      <c r="AQ16" s="2016"/>
      <c r="AR16" s="2016"/>
      <c r="AS16" s="2016"/>
      <c r="AT16" s="2016"/>
      <c r="AU16" s="2016"/>
      <c r="AV16" s="2016"/>
      <c r="AW16" s="2016"/>
      <c r="AX16" s="2016"/>
      <c r="AY16" s="2016"/>
      <c r="AZ16" s="2016"/>
      <c r="BA16" s="2016"/>
      <c r="BB16" s="2016"/>
      <c r="BC16" s="2016"/>
      <c r="BE16" s="1481"/>
      <c r="BF16" s="1481" t="str">
        <f>IF(T16="","",T16)</f>
        <v/>
      </c>
      <c r="BG16" s="1481"/>
      <c r="BH16" s="1481"/>
      <c r="BI16" s="1210">
        <v>0</v>
      </c>
    </row>
    <row s="61695" customFormat="1" customHeight="1" ht="14.25" hidden="1">
      <c r="A17" s="2035"/>
      <c r="B17" s="2035"/>
      <c r="C17" s="2006"/>
      <c r="D17" s="2006"/>
      <c r="E17" s="2951"/>
      <c r="F17" s="2950"/>
      <c r="G17" s="2006"/>
      <c r="H17" s="2006"/>
      <c r="I17" s="2006"/>
      <c r="J17" s="2006"/>
      <c r="K17" s="2006"/>
      <c r="L17" s="2186"/>
      <c r="M17" s="2013"/>
      <c r="N17" s="2013"/>
      <c r="P17" s="2008"/>
      <c r="Q17" s="2009"/>
      <c r="R17" s="2008"/>
      <c r="S17" s="2014"/>
      <c r="T17" s="2017" t="s">
        <v>172</v>
      </c>
      <c r="U17" s="2016"/>
      <c r="V17" s="2016"/>
      <c r="W17" s="2016"/>
      <c r="X17" s="2016"/>
      <c r="Y17" s="2016"/>
      <c r="Z17" s="2016"/>
      <c r="AA17" s="2016"/>
      <c r="AB17" s="2016"/>
      <c r="AC17" s="2016"/>
      <c r="AD17" s="2016"/>
      <c r="AE17" s="2016"/>
      <c r="AF17" s="2016"/>
      <c r="AG17" s="2016"/>
      <c r="AH17" s="2016"/>
      <c r="AI17" s="2016"/>
      <c r="AJ17" s="2016"/>
      <c r="AK17" s="2016"/>
      <c r="AL17" s="2016"/>
      <c r="AM17" s="2016"/>
      <c r="AN17" s="2016"/>
      <c r="AO17" s="2016"/>
      <c r="AP17" s="2016"/>
      <c r="AQ17" s="2016"/>
      <c r="AR17" s="2016"/>
      <c r="AS17" s="2016"/>
      <c r="AT17" s="2016"/>
      <c r="AU17" s="2016"/>
      <c r="AV17" s="2016"/>
      <c r="AW17" s="2016"/>
      <c r="AX17" s="2016"/>
      <c r="AY17" s="2016"/>
      <c r="AZ17" s="2016"/>
      <c r="BA17" s="2016"/>
      <c r="BB17" s="2016"/>
      <c r="BC17" s="2016"/>
      <c r="BE17" s="1481"/>
      <c r="BF17" s="1481" t="str">
        <f>IF(T17="","",T17)</f>
        <v>Добавить централизованную систему для дифференциации</v>
      </c>
      <c r="BG17" s="1481"/>
      <c r="BH17" s="1481"/>
      <c r="BI17" s="1210">
        <v>0</v>
      </c>
    </row>
    <row s="61695" customFormat="1" customHeight="1" ht="14.25" hidden="1">
      <c r="A18" s="2035"/>
      <c r="B18" s="2035"/>
      <c r="C18" s="2035"/>
      <c r="D18" s="2035"/>
      <c r="E18" s="2950"/>
      <c r="F18" s="2035"/>
      <c r="G18" s="2035"/>
      <c r="H18" s="2035"/>
      <c r="I18" s="2035"/>
      <c r="J18" s="2035"/>
      <c r="K18" s="2035"/>
      <c r="L18" s="2038"/>
      <c r="M18" s="2013"/>
      <c r="N18" s="2013"/>
      <c r="O18" s="1210"/>
      <c r="P18" s="1072"/>
      <c r="Q18" s="2036"/>
      <c r="R18" s="1072"/>
      <c r="S18" s="2014"/>
      <c r="T18" s="2017" t="s">
        <v>173</v>
      </c>
      <c r="U18" s="2016"/>
      <c r="V18" s="2016"/>
      <c r="W18" s="2016"/>
      <c r="X18" s="2016"/>
      <c r="Y18" s="2016"/>
      <c r="Z18" s="2016"/>
      <c r="AA18" s="2016"/>
      <c r="AB18" s="2016"/>
      <c r="AC18" s="2016"/>
      <c r="AD18" s="2016"/>
      <c r="AE18" s="2016"/>
      <c r="AF18" s="2016"/>
      <c r="AG18" s="2016"/>
      <c r="AH18" s="2016"/>
      <c r="AI18" s="2016"/>
      <c r="AJ18" s="2016"/>
      <c r="AK18" s="2016"/>
      <c r="AL18" s="2016"/>
      <c r="AM18" s="2016"/>
      <c r="AN18" s="2016"/>
      <c r="AO18" s="2016"/>
      <c r="AP18" s="2016"/>
      <c r="AQ18" s="2016"/>
      <c r="AR18" s="2016"/>
      <c r="AS18" s="2016"/>
      <c r="AT18" s="2016"/>
      <c r="AU18" s="2016"/>
      <c r="AV18" s="2016"/>
      <c r="AW18" s="2016"/>
      <c r="AX18" s="2016"/>
      <c r="AY18" s="2016"/>
      <c r="AZ18" s="2016"/>
      <c r="BA18" s="2016"/>
      <c r="BB18" s="2016"/>
      <c r="BC18" s="2016"/>
      <c r="BE18" s="1192"/>
      <c r="BF18" s="1192" t="str">
        <f>IF(T18="","",T18)</f>
        <v>Добавить территорию для дифференциации</v>
      </c>
      <c r="BG18" s="1192"/>
      <c r="BH18" s="1192"/>
      <c r="BI18" s="1203">
        <v>0</v>
      </c>
    </row>
    <row customHeight="1" ht="14.25" hidden="1">
      <c r="AC19" s="1019"/>
      <c r="BA19" s="1019"/>
      <c r="BI19" s="1847">
        <v>0</v>
      </c>
    </row>
    <row customHeight="1" ht="14.25" hidden="1">
      <c r="AD20" s="2016" t="s">
        <v>19</v>
      </c>
      <c r="AE20" s="2193"/>
      <c r="AF20" s="1240">
        <v>1</v>
      </c>
      <c r="AG20" s="2194"/>
      <c r="AH20" s="2016" t="s">
        <v>19</v>
      </c>
      <c r="AI20" s="2193"/>
      <c r="AJ20" s="1240">
        <v>1</v>
      </c>
      <c r="AK20" s="2194"/>
      <c r="AL20" s="2016" t="s">
        <v>19</v>
      </c>
      <c r="AM20" s="2195"/>
      <c r="AN20" s="1240">
        <v>1</v>
      </c>
      <c r="AO20" s="2196"/>
      <c r="AP20" s="2016" t="s">
        <v>19</v>
      </c>
      <c r="AQ20" s="2195"/>
      <c r="AR20" s="1240">
        <v>1</v>
      </c>
      <c r="AS20" s="2196"/>
      <c r="AT20" s="1017"/>
      <c r="AU20" s="1076"/>
      <c r="AV20" s="1017"/>
      <c r="AW20" s="1076"/>
      <c r="AX20" s="2428"/>
      <c r="AY20" s="2177" t="s">
        <v>67</v>
      </c>
      <c r="AZ20" s="2428"/>
      <c r="BA20" s="2177" t="s">
        <v>67</v>
      </c>
      <c r="BI20" s="1847">
        <v>0</v>
      </c>
    </row>
    <row customHeight="1" ht="14.25" hidden="1">
      <c r="BD21" s="1188"/>
      <c r="BE21" s="1188"/>
      <c r="BF21" s="1188"/>
      <c r="BG21" s="1188"/>
      <c r="BH21" s="1188"/>
      <c r="BI21" s="1847">
        <v>0</v>
      </c>
    </row>
    <row customHeight="1" ht="14.25" hidden="1">
      <c r="O22" s="2059" t="s">
        <v>489</v>
      </c>
      <c r="Z22" s="2037"/>
      <c r="AB22" s="2037"/>
      <c r="AC22" s="1019"/>
      <c r="AX22" s="2037"/>
      <c r="AZ22" s="2037"/>
      <c r="BA22" s="1019"/>
      <c r="BD22" s="1188"/>
      <c r="BE22" s="1188"/>
      <c r="BF22" s="1188"/>
      <c r="BG22" s="1188"/>
      <c r="BH22" s="1188"/>
      <c r="BI22" s="1847">
        <v>0</v>
      </c>
    </row>
    <row customHeight="1" ht="14.25" hidden="1">
      <c r="AC23" s="1019"/>
      <c r="BA23" s="1019"/>
      <c r="BD23" s="1188"/>
      <c r="BE23" s="1188"/>
      <c r="BF23" s="1188"/>
      <c r="BG23" s="1188"/>
      <c r="BH23" s="1188"/>
      <c r="BI23" s="1847">
        <v>0</v>
      </c>
    </row>
    <row s="61412" customFormat="1" customHeight="1" ht="14.25" hidden="1">
      <c r="M24" s="2200"/>
      <c r="N24" s="2200"/>
      <c r="O24" s="2201" t="s">
        <v>490</v>
      </c>
      <c r="P24" s="2200"/>
      <c r="Q24" s="2202"/>
      <c r="R24" s="2202"/>
      <c r="AA24" s="2199" t="s">
        <v>492</v>
      </c>
      <c r="AC24" s="2199" t="s">
        <v>493</v>
      </c>
      <c r="AD24" s="2199" t="s">
        <v>543</v>
      </c>
      <c r="AH24" s="2199" t="s">
        <v>543</v>
      </c>
      <c r="AK24" s="2199" t="s">
        <v>580</v>
      </c>
      <c r="AL24" s="2199" t="s">
        <v>543</v>
      </c>
      <c r="AP24" s="2199" t="s">
        <v>543</v>
      </c>
      <c r="AY24" s="2199" t="s">
        <v>492</v>
      </c>
      <c r="BA24" s="2199" t="s">
        <v>493</v>
      </c>
      <c r="BD24" s="2203"/>
      <c r="BE24" s="2203"/>
      <c r="BF24" s="2203"/>
      <c r="BG24" s="2203"/>
      <c r="BH24" s="2203"/>
      <c r="BI24" s="2199">
        <v>0</v>
      </c>
    </row>
    <row customHeight="1" ht="14.25" hidden="1">
      <c r="O25" s="2056"/>
      <c r="BD25" s="1188"/>
      <c r="BE25" s="1188"/>
      <c r="BF25" s="1188"/>
      <c r="BG25" s="1188"/>
      <c r="BH25" s="1188"/>
      <c r="BI25" s="1847">
        <v>0</v>
      </c>
    </row>
    <row customHeight="1" ht="14.25" hidden="1">
      <c r="O26" s="2056"/>
      <c r="BD26" s="1188"/>
      <c r="BE26" s="1188"/>
      <c r="BF26" s="1188"/>
      <c r="BG26" s="1188"/>
      <c r="BH26" s="1188"/>
      <c r="BI26" s="1847">
        <v>0</v>
      </c>
    </row>
    <row customHeight="1" ht="14.699999999999998">
      <c r="Q27" s="983"/>
      <c r="R27" s="1068"/>
      <c r="S27" s="1967"/>
      <c r="T27" s="1055"/>
      <c r="U27" s="1055"/>
      <c r="V27" s="1201"/>
      <c r="W27" s="1201"/>
      <c r="X27" s="1201"/>
      <c r="Y27" s="1201"/>
      <c r="Z27" s="1201"/>
      <c r="AA27" s="1201"/>
      <c r="AB27" s="1201"/>
      <c r="AC27" s="1201"/>
      <c r="AD27" s="1201"/>
      <c r="AE27" s="1201"/>
      <c r="AF27" s="1201"/>
      <c r="AG27" s="1201"/>
      <c r="AH27" s="1201"/>
      <c r="AI27" s="1201"/>
      <c r="AJ27" s="1201"/>
      <c r="AK27" s="1201"/>
      <c r="AL27" s="1201"/>
      <c r="AM27" s="1201"/>
      <c r="AN27" s="1201"/>
      <c r="AO27" s="1201"/>
      <c r="AP27" s="1201"/>
      <c r="AQ27" s="1201"/>
      <c r="AR27" s="1201"/>
      <c r="AS27" s="1201"/>
      <c r="AT27" s="1201"/>
      <c r="AU27" s="1201"/>
      <c r="AV27" s="1201"/>
      <c r="AW27" s="1201"/>
      <c r="AX27" s="1201"/>
      <c r="AY27" s="1201"/>
      <c r="AZ27" s="1201"/>
      <c r="BA27" s="1201"/>
      <c r="BI27" s="1847">
        <v>14</v>
      </c>
    </row>
    <row customHeight="1" ht="14.699999999999998">
      <c r="Q28" s="983"/>
      <c r="R28" s="1068"/>
      <c r="S28" s="294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940"/>
      <c r="U28" s="2940"/>
      <c r="V28" s="2940"/>
      <c r="W28" s="2940"/>
      <c r="X28" s="2940"/>
      <c r="Y28" s="2940"/>
      <c r="Z28" s="2940"/>
      <c r="AA28" s="2940"/>
      <c r="AB28" s="2940"/>
      <c r="AC28" s="2940"/>
      <c r="AD28" s="2940"/>
      <c r="AE28" s="2940"/>
      <c r="AF28" s="2940"/>
      <c r="AG28" s="2940"/>
      <c r="AH28" s="2940"/>
      <c r="AI28" s="2940"/>
      <c r="AJ28" s="2940"/>
      <c r="AK28" s="2940"/>
      <c r="AL28" s="2940"/>
      <c r="AM28" s="2940"/>
      <c r="AN28" s="2940"/>
      <c r="AO28" s="2940"/>
      <c r="AP28" s="2940"/>
      <c r="AQ28" s="2940"/>
      <c r="AR28" s="2940"/>
      <c r="AS28" s="2940"/>
      <c r="AT28" s="2940"/>
      <c r="AU28" s="2940"/>
      <c r="AV28" s="2940"/>
      <c r="AW28" s="2940"/>
      <c r="AX28" s="2940"/>
      <c r="AY28" s="2940"/>
      <c r="AZ28" s="2940"/>
      <c r="BA28" s="1935"/>
      <c r="BI28" s="1847">
        <v>14</v>
      </c>
    </row>
    <row customHeight="1" ht="14.699999999999998">
      <c r="Q29" s="983"/>
      <c r="R29" s="1068"/>
      <c r="S29" s="2941" t="str">
        <f>IF(org=0,"Не определено",org)</f>
        <v>АО "ДГК"</v>
      </c>
      <c r="T29" s="2941"/>
      <c r="U29" s="2941"/>
      <c r="V29" s="2941"/>
      <c r="W29" s="2941"/>
      <c r="X29" s="2941"/>
      <c r="Y29" s="2941"/>
      <c r="Z29" s="2941"/>
      <c r="AA29" s="2941"/>
      <c r="AB29" s="2941"/>
      <c r="AC29" s="2941"/>
      <c r="AD29" s="2941"/>
      <c r="AE29" s="2941"/>
      <c r="AF29" s="2941"/>
      <c r="AG29" s="2941"/>
      <c r="AH29" s="2941"/>
      <c r="AI29" s="2941"/>
      <c r="AJ29" s="2941"/>
      <c r="AK29" s="2941"/>
      <c r="AL29" s="2941"/>
      <c r="AM29" s="2941"/>
      <c r="AN29" s="2941"/>
      <c r="AO29" s="2941"/>
      <c r="AP29" s="2941"/>
      <c r="AQ29" s="2941"/>
      <c r="AR29" s="2941"/>
      <c r="AS29" s="2941"/>
      <c r="AT29" s="2941"/>
      <c r="AU29" s="2941"/>
      <c r="AV29" s="2941"/>
      <c r="AW29" s="2941"/>
      <c r="AX29" s="2941"/>
      <c r="AY29" s="2941"/>
      <c r="AZ29" s="2941"/>
      <c r="BA29" s="1935"/>
      <c r="BI29" s="1847">
        <v>14</v>
      </c>
    </row>
    <row customHeight="1" ht="14.25" hidden="1">
      <c r="Q30" s="983"/>
      <c r="R30" s="1068"/>
      <c r="S30" s="1967"/>
      <c r="T30" s="1055"/>
      <c r="U30" s="1055"/>
      <c r="V30" s="1014"/>
      <c r="W30" s="1014"/>
      <c r="X30" s="1014"/>
      <c r="Y30" s="1014"/>
      <c r="Z30" s="1014"/>
      <c r="AA30" s="1014"/>
      <c r="AB30" s="1014"/>
      <c r="AC30" s="1014"/>
      <c r="AD30" s="1014"/>
      <c r="AE30" s="1014"/>
      <c r="AF30" s="1014"/>
      <c r="AG30" s="1014"/>
      <c r="AH30" s="1014"/>
      <c r="AI30" s="1014"/>
      <c r="AJ30" s="1014"/>
      <c r="AK30" s="1014"/>
      <c r="AL30" s="1014"/>
      <c r="AM30" s="1014"/>
      <c r="AN30" s="1014"/>
      <c r="AO30" s="1014"/>
      <c r="AP30" s="1014"/>
      <c r="AQ30" s="1014"/>
      <c r="AR30" s="1014"/>
      <c r="AS30" s="1014"/>
      <c r="AT30" s="1014"/>
      <c r="AU30" s="1014"/>
      <c r="AV30" s="1014"/>
      <c r="AW30" s="1014"/>
      <c r="AX30" s="1014"/>
      <c r="AY30" s="1014"/>
      <c r="AZ30" s="1014"/>
      <c r="BA30" s="1014"/>
      <c r="BB30" s="1201"/>
      <c r="BI30" s="1847">
        <v>0</v>
      </c>
    </row>
    <row s="63055" customFormat="1" customHeight="1" ht="25.5" hidden="1">
      <c r="A31" s="2060"/>
      <c r="B31" s="2060"/>
      <c r="C31" s="2060"/>
      <c r="D31" s="2060"/>
      <c r="E31" s="2060"/>
      <c r="F31" s="2060"/>
      <c r="G31" s="2060"/>
      <c r="H31" s="2060"/>
      <c r="I31" s="2060"/>
      <c r="J31" s="2060"/>
      <c r="K31" s="2060"/>
      <c r="L31" s="2061"/>
      <c r="M31" s="2060"/>
      <c r="N31" s="2060"/>
      <c r="O31" s="2060"/>
      <c r="P31" s="2060"/>
      <c r="Q31" s="2060"/>
      <c r="S31" s="2942" t="s">
        <v>42</v>
      </c>
      <c r="T31" s="2942"/>
      <c r="U31" s="2064"/>
      <c r="V31" s="2943" t="str">
        <f>IF(TITLE_NAME_OR_PR_CHANGE="",IF(TITLE_NAME_OR_PR="","",TITLE_NAME_OR_PR),TITLE_NAME_OR_PR_CHANGE)</f>
        <v/>
      </c>
      <c r="W31" s="2943"/>
      <c r="X31" s="2943"/>
      <c r="Y31" s="2943"/>
      <c r="Z31" s="2943"/>
      <c r="AA31" s="2943"/>
      <c r="AB31" s="2943"/>
      <c r="AC31" s="1018"/>
      <c r="AD31" s="2943" t="str">
        <f>IF(TITLE_NAME_OR_PR_CHANGE="",IF(TITLE_NAME_OR_PR="","",TITLE_NAME_OR_PR),TITLE_NAME_OR_PR_CHANGE)</f>
        <v/>
      </c>
      <c r="AE31" s="2943"/>
      <c r="AF31" s="2943"/>
      <c r="AG31" s="2943"/>
      <c r="AH31" s="2943"/>
      <c r="AI31" s="2943"/>
      <c r="AJ31" s="2943"/>
      <c r="AK31" s="2943"/>
      <c r="AL31" s="2943"/>
      <c r="AM31" s="2943"/>
      <c r="AN31" s="2943"/>
      <c r="AO31" s="2943"/>
      <c r="AP31" s="2943"/>
      <c r="AQ31" s="2943"/>
      <c r="AR31" s="2943"/>
      <c r="AS31" s="2943"/>
      <c r="AT31" s="2943"/>
      <c r="AU31" s="2943"/>
      <c r="AV31" s="2943"/>
      <c r="AW31" s="2943"/>
      <c r="AX31" s="2943"/>
      <c r="AY31" s="2943"/>
      <c r="AZ31" s="2943"/>
      <c r="BA31" s="1018"/>
      <c r="BB31" s="1018"/>
      <c r="BC31" s="972"/>
      <c r="BD31" s="1060"/>
      <c r="BE31" s="1060"/>
      <c r="BF31" s="1060"/>
      <c r="BG31" s="1060"/>
      <c r="BH31" s="1060"/>
      <c r="BI31" s="1110">
        <v>0</v>
      </c>
    </row>
    <row s="63055" customFormat="1" customHeight="1" ht="18.75" hidden="1">
      <c r="A32" s="2060"/>
      <c r="B32" s="2060"/>
      <c r="C32" s="2060"/>
      <c r="D32" s="2060"/>
      <c r="E32" s="2060"/>
      <c r="F32" s="2060"/>
      <c r="G32" s="2060"/>
      <c r="H32" s="2060"/>
      <c r="I32" s="2060"/>
      <c r="J32" s="2060"/>
      <c r="K32" s="2060"/>
      <c r="L32" s="2061"/>
      <c r="M32" s="2060"/>
      <c r="N32" s="2060"/>
      <c r="O32" s="2060"/>
      <c r="P32" s="2060"/>
      <c r="Q32" s="2060"/>
      <c r="S32" s="2942" t="s">
        <v>495</v>
      </c>
      <c r="T32" s="2942"/>
      <c r="U32" s="2064"/>
      <c r="V32" s="2956" t="str">
        <f>IF(TITLE_DATE_PR_CHANGE="",IF(TITLE_DATE_PR="","",TITLE_DATE_PR),TITLE_DATE_PR_CHANGE)</f>
        <v>45981</v>
      </c>
      <c r="W32" s="2956"/>
      <c r="X32" s="2956"/>
      <c r="Y32" s="2956"/>
      <c r="Z32" s="2956"/>
      <c r="AA32" s="2956"/>
      <c r="AB32" s="2956"/>
      <c r="AC32" s="1018"/>
      <c r="AD32" s="2956" t="str">
        <f>IF(TITLE_DATE_PR_CHANGE="",IF(TITLE_DATE_PR="","",TITLE_DATE_PR),TITLE_DATE_PR_CHANGE)</f>
        <v>45981</v>
      </c>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1018"/>
      <c r="BB32" s="1018"/>
      <c r="BC32" s="972"/>
      <c r="BD32" s="1060"/>
      <c r="BE32" s="1060"/>
      <c r="BF32" s="1060"/>
      <c r="BG32" s="1060"/>
      <c r="BH32" s="1060"/>
      <c r="BI32" s="1110">
        <v>0</v>
      </c>
    </row>
    <row s="63055" customFormat="1" customHeight="1" ht="18.75" hidden="1">
      <c r="A33" s="2060"/>
      <c r="B33" s="2060"/>
      <c r="C33" s="2060"/>
      <c r="D33" s="2060"/>
      <c r="E33" s="2060"/>
      <c r="F33" s="2060"/>
      <c r="G33" s="2060"/>
      <c r="H33" s="2060"/>
      <c r="I33" s="2060"/>
      <c r="J33" s="2060"/>
      <c r="K33" s="2060"/>
      <c r="L33" s="2061"/>
      <c r="M33" s="2060"/>
      <c r="N33" s="2060"/>
      <c r="O33" s="2060"/>
      <c r="P33" s="2060"/>
      <c r="Q33" s="2060"/>
      <c r="S33" s="2942" t="s">
        <v>496</v>
      </c>
      <c r="T33" s="2942"/>
      <c r="U33" s="2064"/>
      <c r="V33" s="2943" t="str">
        <f>IF(TITLE_NUMBER_PR_CHANGE="",IF(TITLE_NUMBER_PR="","",TITLE_NUMBER_PR),TITLE_NUMBER_PR_CHANGE)</f>
        <v>Исх-260/1781</v>
      </c>
      <c r="W33" s="2943"/>
      <c r="X33" s="2943"/>
      <c r="Y33" s="2943"/>
      <c r="Z33" s="2943"/>
      <c r="AA33" s="2943"/>
      <c r="AB33" s="2943"/>
      <c r="AC33" s="1018"/>
      <c r="AD33" s="2943" t="str">
        <f>IF(TITLE_NUMBER_PR_CHANGE="",IF(TITLE_NUMBER_PR="","",TITLE_NUMBER_PR),TITLE_NUMBER_PR_CHANGE)</f>
        <v>Исх-260/1781</v>
      </c>
      <c r="AE33" s="2943"/>
      <c r="AF33" s="2943"/>
      <c r="AG33" s="2943"/>
      <c r="AH33" s="2943"/>
      <c r="AI33" s="2943"/>
      <c r="AJ33" s="2943"/>
      <c r="AK33" s="2943"/>
      <c r="AL33" s="2943"/>
      <c r="AM33" s="2943"/>
      <c r="AN33" s="2943"/>
      <c r="AO33" s="2943"/>
      <c r="AP33" s="2943"/>
      <c r="AQ33" s="2943"/>
      <c r="AR33" s="2943"/>
      <c r="AS33" s="2943"/>
      <c r="AT33" s="2943"/>
      <c r="AU33" s="2943"/>
      <c r="AV33" s="2943"/>
      <c r="AW33" s="2943"/>
      <c r="AX33" s="2943"/>
      <c r="AY33" s="2943"/>
      <c r="AZ33" s="2943"/>
      <c r="BA33" s="1018"/>
      <c r="BB33" s="1018"/>
      <c r="BC33" s="972"/>
      <c r="BD33" s="1060"/>
      <c r="BE33" s="1060"/>
      <c r="BF33" s="1060"/>
      <c r="BG33" s="1060"/>
      <c r="BH33" s="1060"/>
      <c r="BI33" s="1110">
        <v>0</v>
      </c>
    </row>
    <row s="63055" customFormat="1" customHeight="1" ht="18.75" hidden="1">
      <c r="A34" s="2060"/>
      <c r="B34" s="2060"/>
      <c r="C34" s="2060"/>
      <c r="D34" s="2060"/>
      <c r="E34" s="2060"/>
      <c r="F34" s="2060"/>
      <c r="G34" s="2060"/>
      <c r="H34" s="2060"/>
      <c r="I34" s="2060"/>
      <c r="J34" s="2060"/>
      <c r="K34" s="2060"/>
      <c r="L34" s="2061"/>
      <c r="M34" s="2060"/>
      <c r="N34" s="2060"/>
      <c r="O34" s="2060"/>
      <c r="P34" s="2060"/>
      <c r="Q34" s="2060"/>
      <c r="S34" s="2942" t="s">
        <v>43</v>
      </c>
      <c r="T34" s="2942"/>
      <c r="U34" s="2064"/>
      <c r="V34" s="2943" t="str">
        <f>IF(TITLE_IST_PUB_CHANGE="",IF(TITLE_IST_PUB="","",TITLE_IST_PUB),TITLE_IST_PUB_CHANGE)</f>
        <v/>
      </c>
      <c r="W34" s="2943"/>
      <c r="X34" s="2943"/>
      <c r="Y34" s="2943"/>
      <c r="Z34" s="2943"/>
      <c r="AA34" s="2943"/>
      <c r="AB34" s="2943"/>
      <c r="AC34" s="1018"/>
      <c r="AD34" s="2943" t="str">
        <f>IF(TITLE_IST_PUB_CHANGE="",IF(TITLE_IST_PUB="","",TITLE_IST_PUB),TITLE_IST_PUB_CHANGE)</f>
        <v/>
      </c>
      <c r="AE34" s="2943"/>
      <c r="AF34" s="2943"/>
      <c r="AG34" s="2943"/>
      <c r="AH34" s="2943"/>
      <c r="AI34" s="2943"/>
      <c r="AJ34" s="2943"/>
      <c r="AK34" s="2943"/>
      <c r="AL34" s="2943"/>
      <c r="AM34" s="2943"/>
      <c r="AN34" s="2943"/>
      <c r="AO34" s="2943"/>
      <c r="AP34" s="2943"/>
      <c r="AQ34" s="2943"/>
      <c r="AR34" s="2943"/>
      <c r="AS34" s="2943"/>
      <c r="AT34" s="2943"/>
      <c r="AU34" s="2943"/>
      <c r="AV34" s="2943"/>
      <c r="AW34" s="2943"/>
      <c r="AX34" s="2943"/>
      <c r="AY34" s="2943"/>
      <c r="AZ34" s="2943"/>
      <c r="BA34" s="1018"/>
      <c r="BB34" s="1018"/>
      <c r="BC34" s="972"/>
      <c r="BD34" s="1060"/>
      <c r="BE34" s="1060"/>
      <c r="BF34" s="1060"/>
      <c r="BG34" s="1060"/>
      <c r="BH34" s="1060"/>
      <c r="BI34" s="1110">
        <v>0</v>
      </c>
    </row>
    <row customHeight="1" ht="14.25">
      <c r="Q35" s="983"/>
      <c r="R35" s="1068"/>
      <c r="S35" s="1967"/>
      <c r="T35" s="1055"/>
      <c r="U35" s="1055"/>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201"/>
      <c r="BI35" s="1847">
        <v>0</v>
      </c>
    </row>
    <row s="63055" customFormat="1" customHeight="1" ht="18.75">
      <c r="A36" s="2060"/>
      <c r="B36" s="2060"/>
      <c r="C36" s="2060"/>
      <c r="D36" s="2060"/>
      <c r="E36" s="2060"/>
      <c r="F36" s="2060"/>
      <c r="G36" s="2060"/>
      <c r="H36" s="2060"/>
      <c r="I36" s="2060"/>
      <c r="J36" s="2060"/>
      <c r="K36" s="2060"/>
      <c r="L36" s="2061"/>
      <c r="M36" s="2060"/>
      <c r="N36" s="2060"/>
      <c r="O36" s="2060"/>
      <c r="P36" s="2060"/>
      <c r="Q36" s="2060"/>
      <c r="S36" s="2942" t="s">
        <v>495</v>
      </c>
      <c r="T36" s="2942"/>
      <c r="U36" s="2064"/>
      <c r="V36" s="2956" t="str">
        <f>IF(TITLE_DATE_PR_CHANGE="",IF(TITLE_DATE_PR="","",TITLE_DATE_PR),TITLE_DATE_PR_CHANGE)</f>
        <v>45981</v>
      </c>
      <c r="W36" s="2956"/>
      <c r="X36" s="2956"/>
      <c r="Y36" s="2956"/>
      <c r="Z36" s="2956"/>
      <c r="AA36" s="2956"/>
      <c r="AB36" s="2956"/>
      <c r="AC36" s="1018"/>
      <c r="AD36" s="2956" t="str">
        <f>IF(TITLE_DATE_PR_CHANGE="",IF(TITLE_DATE_PR="","",TITLE_DATE_PR),TITLE_DATE_PR_CHANGE)</f>
        <v>45981</v>
      </c>
      <c r="AE36" s="2956"/>
      <c r="AF36" s="2956"/>
      <c r="AG36" s="2956"/>
      <c r="AH36" s="2956"/>
      <c r="AI36" s="2956"/>
      <c r="AJ36" s="2956"/>
      <c r="AK36" s="2956"/>
      <c r="AL36" s="2956"/>
      <c r="AM36" s="2956"/>
      <c r="AN36" s="2956"/>
      <c r="AO36" s="2956"/>
      <c r="AP36" s="2956"/>
      <c r="AQ36" s="2956"/>
      <c r="AR36" s="2956"/>
      <c r="AS36" s="2956"/>
      <c r="AT36" s="2956"/>
      <c r="AU36" s="2956"/>
      <c r="AV36" s="2956"/>
      <c r="AW36" s="2956"/>
      <c r="AX36" s="2956"/>
      <c r="AY36" s="2956"/>
      <c r="AZ36" s="2956"/>
      <c r="BA36" s="1018"/>
      <c r="BB36" s="1018"/>
      <c r="BC36" s="972"/>
      <c r="BD36" s="1060"/>
      <c r="BE36" s="1060"/>
      <c r="BF36" s="1060"/>
      <c r="BG36" s="1060"/>
      <c r="BH36" s="1060"/>
      <c r="BI36" s="1110">
        <v>0</v>
      </c>
    </row>
    <row s="63055" customFormat="1" customHeight="1" ht="18.75">
      <c r="A37" s="2060"/>
      <c r="B37" s="2060"/>
      <c r="C37" s="2060"/>
      <c r="D37" s="2060"/>
      <c r="E37" s="2060"/>
      <c r="F37" s="2060"/>
      <c r="G37" s="2060"/>
      <c r="H37" s="2060"/>
      <c r="I37" s="2060"/>
      <c r="J37" s="2060"/>
      <c r="K37" s="2060"/>
      <c r="L37" s="2061"/>
      <c r="M37" s="2060"/>
      <c r="N37" s="2060"/>
      <c r="O37" s="2060"/>
      <c r="P37" s="2060"/>
      <c r="Q37" s="2060"/>
      <c r="S37" s="2942" t="s">
        <v>496</v>
      </c>
      <c r="T37" s="2942"/>
      <c r="U37" s="2064"/>
      <c r="V37" s="2943" t="str">
        <f>IF(TITLE_NUMBER_PR_CHANGE="",IF(TITLE_NUMBER_PR="","",TITLE_NUMBER_PR),TITLE_NUMBER_PR_CHANGE)</f>
        <v>Исх-260/1781</v>
      </c>
      <c r="W37" s="2943"/>
      <c r="X37" s="2943"/>
      <c r="Y37" s="2943"/>
      <c r="Z37" s="2943"/>
      <c r="AA37" s="2943"/>
      <c r="AB37" s="2943"/>
      <c r="AC37" s="1018"/>
      <c r="AD37" s="2943" t="str">
        <f>IF(TITLE_NUMBER_PR_CHANGE="",IF(TITLE_NUMBER_PR="","",TITLE_NUMBER_PR),TITLE_NUMBER_PR_CHANGE)</f>
        <v>Исх-260/1781</v>
      </c>
      <c r="AE37" s="2943"/>
      <c r="AF37" s="2943"/>
      <c r="AG37" s="2943"/>
      <c r="AH37" s="2943"/>
      <c r="AI37" s="2943"/>
      <c r="AJ37" s="2943"/>
      <c r="AK37" s="2943"/>
      <c r="AL37" s="2943"/>
      <c r="AM37" s="2943"/>
      <c r="AN37" s="2943"/>
      <c r="AO37" s="2943"/>
      <c r="AP37" s="2943"/>
      <c r="AQ37" s="2943"/>
      <c r="AR37" s="2943"/>
      <c r="AS37" s="2943"/>
      <c r="AT37" s="2943"/>
      <c r="AU37" s="2943"/>
      <c r="AV37" s="2943"/>
      <c r="AW37" s="2943"/>
      <c r="AX37" s="2943"/>
      <c r="AY37" s="2943"/>
      <c r="AZ37" s="2943"/>
      <c r="BA37" s="1018"/>
      <c r="BB37" s="1018"/>
      <c r="BC37" s="972"/>
      <c r="BD37" s="1060"/>
      <c r="BE37" s="1060"/>
      <c r="BF37" s="1060"/>
      <c r="BG37" s="1060"/>
      <c r="BH37" s="1060"/>
      <c r="BI37" s="1110">
        <v>0</v>
      </c>
    </row>
    <row s="63055" customFormat="1" customHeight="1" ht="0">
      <c r="A38" s="2060"/>
      <c r="B38" s="2060"/>
      <c r="C38" s="2060"/>
      <c r="D38" s="2060"/>
      <c r="E38" s="2060"/>
      <c r="F38" s="2060"/>
      <c r="G38" s="2060"/>
      <c r="H38" s="2060"/>
      <c r="I38" s="2060"/>
      <c r="J38" s="2060"/>
      <c r="K38" s="2060"/>
      <c r="L38" s="2061"/>
      <c r="M38" s="2060"/>
      <c r="N38" s="2060"/>
      <c r="O38" s="2060"/>
      <c r="P38" s="2060"/>
      <c r="Q38" s="2060"/>
      <c r="S38" s="1015"/>
      <c r="T38" s="1015"/>
      <c r="U38" s="2180"/>
      <c r="V38" s="1018"/>
      <c r="W38" s="1018"/>
      <c r="X38" s="1018"/>
      <c r="Y38" s="1018"/>
      <c r="Z38" s="1018"/>
      <c r="AA38" s="1018"/>
      <c r="AB38" s="1018"/>
      <c r="AC38" s="970" t="s">
        <v>499</v>
      </c>
      <c r="AD38" s="1018"/>
      <c r="AE38" s="1018"/>
      <c r="AF38" s="1018"/>
      <c r="AG38" s="1018"/>
      <c r="AH38" s="1018"/>
      <c r="AI38" s="1018"/>
      <c r="AJ38" s="1018"/>
      <c r="AK38" s="1018"/>
      <c r="AL38" s="1018"/>
      <c r="AM38" s="1018"/>
      <c r="AN38" s="1018"/>
      <c r="AO38" s="1018"/>
      <c r="AP38" s="1018"/>
      <c r="AQ38" s="1018"/>
      <c r="AR38" s="1018"/>
      <c r="AS38" s="1018"/>
      <c r="AT38" s="1018"/>
      <c r="AU38" s="1018"/>
      <c r="AV38" s="1018"/>
      <c r="AW38" s="1018"/>
      <c r="AX38" s="1018"/>
      <c r="AY38" s="1018"/>
      <c r="AZ38" s="1018"/>
      <c r="BA38" s="970" t="s">
        <v>499</v>
      </c>
      <c r="BD38" s="1060"/>
      <c r="BE38" s="1060"/>
      <c r="BF38" s="1060"/>
      <c r="BG38" s="1060"/>
      <c r="BH38" s="1060"/>
      <c r="BI38" s="1110">
        <v>0</v>
      </c>
    </row>
    <row customHeight="1" ht="14.699999999999998">
      <c r="Q39" s="983"/>
      <c r="R39" s="1068"/>
      <c r="S39" s="1967"/>
      <c r="T39" s="1055"/>
      <c r="U39" s="1936"/>
      <c r="V39" s="2944"/>
      <c r="W39" s="2944"/>
      <c r="X39" s="2944"/>
      <c r="Y39" s="2944"/>
      <c r="Z39" s="2944"/>
      <c r="AA39" s="2944"/>
      <c r="AB39" s="2944"/>
      <c r="AC39" s="2944"/>
      <c r="AD39" s="2944"/>
      <c r="AE39" s="2944"/>
      <c r="AF39" s="2944"/>
      <c r="AG39" s="2944"/>
      <c r="AH39" s="2944"/>
      <c r="AI39" s="2944"/>
      <c r="AJ39" s="2944"/>
      <c r="AK39" s="2944"/>
      <c r="AL39" s="2944"/>
      <c r="AM39" s="2944"/>
      <c r="AN39" s="2944"/>
      <c r="AO39" s="2944"/>
      <c r="AP39" s="2944"/>
      <c r="AQ39" s="2944"/>
      <c r="AR39" s="2944"/>
      <c r="AS39" s="2944"/>
      <c r="AT39" s="2944"/>
      <c r="AU39" s="2944"/>
      <c r="AV39" s="2944"/>
      <c r="AW39" s="2944"/>
      <c r="AX39" s="2944"/>
      <c r="AY39" s="2944"/>
      <c r="AZ39" s="2944"/>
      <c r="BA39" s="2944"/>
      <c r="BI39" s="1847">
        <v>14</v>
      </c>
    </row>
    <row customHeight="1" ht="14.699999999999998">
      <c r="Q40" s="983"/>
      <c r="R40" s="1068"/>
      <c r="S40" s="2819" t="s">
        <v>375</v>
      </c>
      <c r="T40" s="2819"/>
      <c r="U40" s="2819"/>
      <c r="V40" s="2819"/>
      <c r="W40" s="2819"/>
      <c r="X40" s="2819"/>
      <c r="Y40" s="2819"/>
      <c r="Z40" s="2819"/>
      <c r="AA40" s="2819"/>
      <c r="AB40" s="2819"/>
      <c r="AC40" s="2819"/>
      <c r="AD40" s="2819"/>
      <c r="AE40" s="2819"/>
      <c r="AF40" s="2819"/>
      <c r="AG40" s="2819"/>
      <c r="AH40" s="2819"/>
      <c r="AI40" s="2819"/>
      <c r="AJ40" s="2819"/>
      <c r="AK40" s="2819"/>
      <c r="AL40" s="2819"/>
      <c r="AM40" s="2819"/>
      <c r="AN40" s="2819"/>
      <c r="AO40" s="2819"/>
      <c r="AP40" s="2819"/>
      <c r="AQ40" s="2819"/>
      <c r="AR40" s="2819"/>
      <c r="AS40" s="2819"/>
      <c r="AT40" s="2819"/>
      <c r="AU40" s="2819"/>
      <c r="AV40" s="2819"/>
      <c r="AW40" s="2819"/>
      <c r="AX40" s="2819"/>
      <c r="AY40" s="2819"/>
      <c r="AZ40" s="2819"/>
      <c r="BA40" s="2819"/>
      <c r="BB40" s="2819"/>
      <c r="BC40" s="2819" t="s">
        <v>376</v>
      </c>
      <c r="BI40" s="1847">
        <v>14</v>
      </c>
    </row>
    <row customHeight="1" ht="14.699999999999998">
      <c r="Q41" s="983"/>
      <c r="R41" s="1068"/>
      <c r="S41" s="2965" t="s">
        <v>89</v>
      </c>
      <c r="T41" s="2901" t="s">
        <v>581</v>
      </c>
      <c r="U41" s="993"/>
      <c r="V41" s="2966" t="s">
        <v>501</v>
      </c>
      <c r="W41" s="2967"/>
      <c r="X41" s="2967"/>
      <c r="Y41" s="2967"/>
      <c r="Z41" s="2967"/>
      <c r="AA41" s="2967"/>
      <c r="AB41" s="2968"/>
      <c r="AC41" s="2969" t="s">
        <v>502</v>
      </c>
      <c r="AD41" s="3020" t="s">
        <v>582</v>
      </c>
      <c r="AE41" s="2983"/>
      <c r="AF41" s="2983"/>
      <c r="AG41" s="3021"/>
      <c r="AH41" s="3020" t="s">
        <v>583</v>
      </c>
      <c r="AI41" s="2983"/>
      <c r="AJ41" s="2983"/>
      <c r="AK41" s="3021"/>
      <c r="AL41" s="3020" t="s">
        <v>584</v>
      </c>
      <c r="AM41" s="2983"/>
      <c r="AN41" s="2983"/>
      <c r="AO41" s="3021"/>
      <c r="AP41" s="3020" t="s">
        <v>585</v>
      </c>
      <c r="AQ41" s="2983"/>
      <c r="AR41" s="2983"/>
      <c r="AS41" s="3021"/>
      <c r="AT41" s="2966" t="s">
        <v>501</v>
      </c>
      <c r="AU41" s="2967"/>
      <c r="AV41" s="2967"/>
      <c r="AW41" s="2967"/>
      <c r="AX41" s="2967"/>
      <c r="AY41" s="2967"/>
      <c r="AZ41" s="2968"/>
      <c r="BA41" s="2969" t="s">
        <v>502</v>
      </c>
      <c r="BB41" s="2972" t="s">
        <v>504</v>
      </c>
      <c r="BC41" s="2819"/>
      <c r="BI41" s="1847">
        <v>14</v>
      </c>
    </row>
    <row customHeight="1" ht="35.699999999999996">
      <c r="Q42" s="983"/>
      <c r="R42" s="1068"/>
      <c r="S42" s="2965"/>
      <c r="T42" s="2901"/>
      <c r="U42" s="1723"/>
      <c r="V42" s="2884" t="s">
        <v>586</v>
      </c>
      <c r="W42" s="2885"/>
      <c r="X42" s="2884" t="s">
        <v>587</v>
      </c>
      <c r="Y42" s="2885"/>
      <c r="Z42" s="2986" t="s">
        <v>588</v>
      </c>
      <c r="AA42" s="3005"/>
      <c r="AB42" s="3006"/>
      <c r="AC42" s="2970"/>
      <c r="AD42" s="3022"/>
      <c r="AE42" s="3023"/>
      <c r="AF42" s="3023"/>
      <c r="AG42" s="3024"/>
      <c r="AH42" s="3022"/>
      <c r="AI42" s="3023"/>
      <c r="AJ42" s="3023"/>
      <c r="AK42" s="3024"/>
      <c r="AL42" s="3022"/>
      <c r="AM42" s="3023"/>
      <c r="AN42" s="3023"/>
      <c r="AO42" s="3024"/>
      <c r="AP42" s="3022"/>
      <c r="AQ42" s="3023"/>
      <c r="AR42" s="3023"/>
      <c r="AS42" s="3024"/>
      <c r="AT42" s="2884" t="s">
        <v>586</v>
      </c>
      <c r="AU42" s="2885"/>
      <c r="AV42" s="2884" t="s">
        <v>587</v>
      </c>
      <c r="AW42" s="2885"/>
      <c r="AX42" s="2986" t="s">
        <v>588</v>
      </c>
      <c r="AY42" s="3005"/>
      <c r="AZ42" s="3006"/>
      <c r="BA42" s="2970"/>
      <c r="BB42" s="2973"/>
      <c r="BC42" s="2819"/>
      <c r="BI42" s="1847">
        <v>34</v>
      </c>
    </row>
    <row customHeight="1" ht="14.699999999999998">
      <c r="Q43" s="983"/>
      <c r="R43" s="1068"/>
      <c r="S43" s="2965"/>
      <c r="T43" s="2901"/>
      <c r="U43" s="1723"/>
      <c r="V43" s="2892"/>
      <c r="W43" s="2893"/>
      <c r="X43" s="2892"/>
      <c r="Y43" s="2893"/>
      <c r="Z43" s="2987"/>
      <c r="AA43" s="3007"/>
      <c r="AB43" s="3008"/>
      <c r="AC43" s="2970"/>
      <c r="AD43" s="3022"/>
      <c r="AE43" s="3023"/>
      <c r="AF43" s="3023"/>
      <c r="AG43" s="3024"/>
      <c r="AH43" s="3022"/>
      <c r="AI43" s="3023"/>
      <c r="AJ43" s="3023"/>
      <c r="AK43" s="3024"/>
      <c r="AL43" s="3022"/>
      <c r="AM43" s="3023"/>
      <c r="AN43" s="3023"/>
      <c r="AO43" s="3024"/>
      <c r="AP43" s="3022"/>
      <c r="AQ43" s="3023"/>
      <c r="AR43" s="3023"/>
      <c r="AS43" s="3024"/>
      <c r="AT43" s="2892"/>
      <c r="AU43" s="2893"/>
      <c r="AV43" s="2892"/>
      <c r="AW43" s="2893"/>
      <c r="AX43" s="2987"/>
      <c r="AY43" s="3007"/>
      <c r="AZ43" s="3008"/>
      <c r="BA43" s="2970"/>
      <c r="BB43" s="2973"/>
      <c r="BC43" s="2819"/>
      <c r="BI43" s="1847">
        <v>14</v>
      </c>
    </row>
    <row customHeight="1" ht="14.699999999999998">
      <c r="A44" s="2062"/>
      <c r="B44" s="2062" t="s">
        <v>143</v>
      </c>
      <c r="C44" s="2062" t="s">
        <v>144</v>
      </c>
      <c r="D44" s="2062" t="s">
        <v>145</v>
      </c>
      <c r="E44" s="2056" t="s">
        <v>509</v>
      </c>
      <c r="F44" s="2056" t="s">
        <v>510</v>
      </c>
      <c r="G44" s="2056" t="s">
        <v>511</v>
      </c>
      <c r="H44" s="2056" t="s">
        <v>512</v>
      </c>
      <c r="I44" s="2056" t="s">
        <v>513</v>
      </c>
      <c r="J44" s="2056" t="s">
        <v>514</v>
      </c>
      <c r="K44" s="2056" t="s">
        <v>515</v>
      </c>
      <c r="L44" s="2056" t="s">
        <v>490</v>
      </c>
      <c r="Q44" s="983"/>
      <c r="R44" s="1068"/>
      <c r="S44" s="2965"/>
      <c r="T44" s="2901"/>
      <c r="U44" s="994"/>
      <c r="V44" s="2171" t="s">
        <v>552</v>
      </c>
      <c r="W44" s="2171" t="s">
        <v>553</v>
      </c>
      <c r="X44" s="2171" t="s">
        <v>552</v>
      </c>
      <c r="Y44" s="2171" t="s">
        <v>553</v>
      </c>
      <c r="Z44" s="2181" t="s">
        <v>518</v>
      </c>
      <c r="AA44" s="2962" t="s">
        <v>519</v>
      </c>
      <c r="AB44" s="2963"/>
      <c r="AC44" s="2971"/>
      <c r="AD44" s="3025"/>
      <c r="AE44" s="3026"/>
      <c r="AF44" s="3026"/>
      <c r="AG44" s="3027"/>
      <c r="AH44" s="3025"/>
      <c r="AI44" s="3026"/>
      <c r="AJ44" s="3026"/>
      <c r="AK44" s="3027"/>
      <c r="AL44" s="3025"/>
      <c r="AM44" s="3026"/>
      <c r="AN44" s="3026"/>
      <c r="AO44" s="3027"/>
      <c r="AP44" s="3025"/>
      <c r="AQ44" s="3026"/>
      <c r="AR44" s="3026"/>
      <c r="AS44" s="3027"/>
      <c r="AT44" s="2171" t="s">
        <v>552</v>
      </c>
      <c r="AU44" s="2171" t="s">
        <v>553</v>
      </c>
      <c r="AV44" s="2171" t="s">
        <v>552</v>
      </c>
      <c r="AW44" s="2171" t="s">
        <v>553</v>
      </c>
      <c r="AX44" s="2181" t="s">
        <v>518</v>
      </c>
      <c r="AY44" s="2962" t="s">
        <v>519</v>
      </c>
      <c r="AZ44" s="2963"/>
      <c r="BA44" s="2971"/>
      <c r="BB44" s="2974"/>
      <c r="BC44" s="2819"/>
      <c r="BI44" s="1847">
        <v>14</v>
      </c>
    </row>
    <row s="61193" customFormat="1" customHeight="1" ht="0">
      <c r="A45" s="2062"/>
      <c r="B45" s="2062"/>
      <c r="C45" s="2062"/>
      <c r="D45" s="2062"/>
      <c r="E45" s="2062"/>
      <c r="F45" s="2062"/>
      <c r="G45" s="2062"/>
      <c r="H45" s="2062"/>
      <c r="I45" s="2062"/>
      <c r="J45" s="2062"/>
      <c r="K45" s="2062"/>
      <c r="L45" s="2056"/>
      <c r="M45" s="2054"/>
      <c r="N45" s="2054"/>
      <c r="O45" s="2054"/>
      <c r="P45" s="1202"/>
      <c r="Q45" s="1946"/>
      <c r="R45" s="1946">
        <v>1</v>
      </c>
      <c r="S45" s="1969" t="s">
        <v>118</v>
      </c>
      <c r="T45" s="1947" t="s">
        <v>103</v>
      </c>
      <c r="U45" s="1937" t="str">
        <f>OFFSET(U45,0,-1)</f>
        <v>2</v>
      </c>
      <c r="V45" s="2174">
        <f>OFFSET(V45,0,-1)+1</f>
        <v>3</v>
      </c>
      <c r="W45" s="2174">
        <f>OFFSET(W45,0,-1)+1</f>
        <v>4</v>
      </c>
      <c r="X45" s="2174">
        <f>OFFSET(X45,0,-1)+1</f>
        <v>5</v>
      </c>
      <c r="Y45" s="2174">
        <f>OFFSET(Y45,0,-1)+1</f>
        <v>6</v>
      </c>
      <c r="Z45" s="2174">
        <f>OFFSET(Z45,0,-1)+1</f>
        <v>7</v>
      </c>
      <c r="AA45" s="2964">
        <f>OFFSET(AA45,0,-1)+1</f>
        <v>8</v>
      </c>
      <c r="AB45" s="2964"/>
      <c r="AC45" s="2174">
        <f>OFFSET(AC45,0,-2)+1</f>
        <v>9</v>
      </c>
      <c r="AD45" s="2174">
        <f>OFFSET(AD45,0,-1)+1</f>
        <v>10</v>
      </c>
      <c r="AE45" s="2174"/>
      <c r="AF45" s="2174"/>
      <c r="AG45" s="2174"/>
      <c r="AH45" s="2174"/>
      <c r="AI45" s="2174"/>
      <c r="AJ45" s="2174"/>
      <c r="AK45" s="2174"/>
      <c r="AL45" s="2174"/>
      <c r="AM45" s="2174"/>
      <c r="AN45" s="2174"/>
      <c r="AO45" s="2174"/>
      <c r="AP45" s="2174"/>
      <c r="AQ45" s="2174"/>
      <c r="AR45" s="2174"/>
      <c r="AS45" s="2174"/>
      <c r="AT45" s="2174"/>
      <c r="AU45" s="2174"/>
      <c r="AV45" s="2174"/>
      <c r="AW45" s="2174">
        <f>OFFSET(AW45,0,-1)+1</f>
        <v>1</v>
      </c>
      <c r="AX45" s="2174">
        <f>OFFSET(AX45,0,-1)+1</f>
        <v>2</v>
      </c>
      <c r="AY45" s="2964">
        <f>OFFSET(AY45,0,-1)+1</f>
        <v>3</v>
      </c>
      <c r="AZ45" s="2964"/>
      <c r="BA45" s="2174">
        <f>OFFSET(BA45,0,-2)+1</f>
        <v>4</v>
      </c>
      <c r="BB45" s="1937">
        <f>OFFSET(BB45,0,-1)</f>
        <v>4</v>
      </c>
      <c r="BC45" s="2174">
        <f>OFFSET(BC45,0,-1)+1</f>
        <v>5</v>
      </c>
      <c r="BD45" s="1203"/>
      <c r="BE45" s="1203"/>
      <c r="BF45" s="1203"/>
      <c r="BG45" s="1203"/>
      <c r="BH45" s="1203"/>
      <c r="BI45" s="1188">
        <v>0</v>
      </c>
    </row>
    <row customHeight="1" ht="22.049999999999997">
      <c r="A46" s="2055" t="s">
        <v>336</v>
      </c>
      <c r="B46" s="2055"/>
      <c r="C46" s="2055"/>
      <c r="D46" s="2055"/>
      <c r="E46" s="2950">
        <v>1</v>
      </c>
      <c r="F46" s="2055"/>
      <c r="G46" s="2055"/>
      <c r="H46" s="2055"/>
      <c r="I46" s="2055"/>
      <c r="J46" s="2055"/>
      <c r="K46" s="2055"/>
      <c r="L46" s="2056"/>
      <c r="M46" s="2057"/>
      <c r="N46" s="2057"/>
      <c r="O46" s="2057"/>
      <c r="P46" s="2101"/>
      <c r="Q46" s="1565"/>
      <c r="R46" s="1047"/>
      <c r="S46" s="2185">
        <f>INDEX(PT_DIFFERENTIATION_NUM_NTAR,MATCH(A46,PT_DIFFERENTIATION_NTAR_ID,0))</f>
        <v>0</v>
      </c>
      <c r="T46" s="990" t="s">
        <v>131</v>
      </c>
      <c r="U46" s="992"/>
      <c r="V46" s="2935"/>
      <c r="W46" s="2935"/>
      <c r="X46" s="2935"/>
      <c r="Y46" s="2935"/>
      <c r="Z46" s="2935"/>
      <c r="AA46" s="2935"/>
      <c r="AB46" s="2935"/>
      <c r="AC46" s="2936"/>
      <c r="AD46" s="2934" t="str">
        <f>INDEX(PT_DIFFERENTIATION_NTAR,MATCH(A46,PT_DIFFERENTIATION_NTAR_ID,0))</f>
        <v/>
      </c>
      <c r="AE46" s="2935"/>
      <c r="AF46" s="2935"/>
      <c r="AG46" s="2935"/>
      <c r="AH46" s="2935"/>
      <c r="AI46" s="2935"/>
      <c r="AJ46" s="2935"/>
      <c r="AK46" s="2935"/>
      <c r="AL46" s="2935"/>
      <c r="AM46" s="2935"/>
      <c r="AN46" s="2935"/>
      <c r="AO46" s="2935"/>
      <c r="AP46" s="2935"/>
      <c r="AQ46" s="2935"/>
      <c r="AR46" s="2935"/>
      <c r="AS46" s="2935"/>
      <c r="AT46" s="2935"/>
      <c r="AU46" s="2935"/>
      <c r="AV46" s="2935"/>
      <c r="AW46" s="2935"/>
      <c r="AX46" s="2935"/>
      <c r="AY46" s="2935"/>
      <c r="AZ46" s="2935"/>
      <c r="BA46" s="2935"/>
      <c r="BB46" s="2936"/>
      <c r="BC46" s="195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92"/>
      <c r="BF46" s="1192" t="str">
        <f>IF(T46="","",T46)</f>
        <v>Наименование тарифа</v>
      </c>
      <c r="BG46" s="1192"/>
      <c r="BH46" s="1192"/>
      <c r="BI46" s="1847">
        <v>21</v>
      </c>
    </row>
    <row customHeight="1" ht="22.049999999999997">
      <c r="A47" s="2055" t="s">
        <v>336</v>
      </c>
      <c r="B47" s="2055" t="s">
        <v>337</v>
      </c>
      <c r="C47" s="2055"/>
      <c r="D47" s="2055"/>
      <c r="E47" s="2951"/>
      <c r="F47" s="2950">
        <v>1</v>
      </c>
      <c r="G47" s="2055"/>
      <c r="H47" s="2055"/>
      <c r="I47" s="2055"/>
      <c r="J47" s="2055"/>
      <c r="K47" s="2055"/>
      <c r="L47" s="2056"/>
      <c r="M47" s="2057"/>
      <c r="N47" s="2057"/>
      <c r="O47" s="2057"/>
      <c r="P47" s="2102"/>
      <c r="Q47" s="2103"/>
      <c r="R47" s="1045"/>
      <c r="S47" s="2185" t="str">
        <f>INDEX(PT_DIFFERENTIATION_NUM_TER,MATCH(B47,PT_DIFFERENTIATION_TER_ID,0))</f>
        <v>.</v>
      </c>
      <c r="T47" s="1000" t="s">
        <v>472</v>
      </c>
      <c r="U47" s="992"/>
      <c r="V47" s="2935"/>
      <c r="W47" s="2935"/>
      <c r="X47" s="2935"/>
      <c r="Y47" s="2935"/>
      <c r="Z47" s="2935"/>
      <c r="AA47" s="2935"/>
      <c r="AB47" s="2935"/>
      <c r="AC47" s="2936"/>
      <c r="AD47" s="2934" t="str">
        <f>INDEX(PT_DIFFERENTIATION_TER,MATCH(B47,PT_DIFFERENTIATION_TER_ID,0))</f>
        <v/>
      </c>
      <c r="AE47" s="2935"/>
      <c r="AF47" s="2935"/>
      <c r="AG47" s="2935"/>
      <c r="AH47" s="2935"/>
      <c r="AI47" s="2935"/>
      <c r="AJ47" s="2935"/>
      <c r="AK47" s="2935"/>
      <c r="AL47" s="2935"/>
      <c r="AM47" s="2935"/>
      <c r="AN47" s="2935"/>
      <c r="AO47" s="2935"/>
      <c r="AP47" s="2935"/>
      <c r="AQ47" s="2935"/>
      <c r="AR47" s="2935"/>
      <c r="AS47" s="2935"/>
      <c r="AT47" s="2935"/>
      <c r="AU47" s="2935"/>
      <c r="AV47" s="2935"/>
      <c r="AW47" s="2935"/>
      <c r="AX47" s="2935"/>
      <c r="AY47" s="2935"/>
      <c r="AZ47" s="2935"/>
      <c r="BA47" s="2935"/>
      <c r="BB47" s="2936"/>
      <c r="BC47" s="1950" t="s">
        <v>473</v>
      </c>
      <c r="BE47" s="1192"/>
      <c r="BF47" s="1192" t="str">
        <f>IF(T47="","",T47)</f>
        <v>Территория действия тарифа</v>
      </c>
      <c r="BG47" s="1192"/>
      <c r="BH47" s="1192"/>
      <c r="BI47" s="1847">
        <v>21</v>
      </c>
    </row>
    <row customHeight="1" ht="35.699999999999996">
      <c r="A48" s="2055" t="s">
        <v>336</v>
      </c>
      <c r="B48" s="2055" t="s">
        <v>337</v>
      </c>
      <c r="C48" s="2055" t="s">
        <v>338</v>
      </c>
      <c r="D48" s="2055"/>
      <c r="E48" s="2951"/>
      <c r="F48" s="2951"/>
      <c r="G48" s="2950">
        <v>1</v>
      </c>
      <c r="H48" s="2055"/>
      <c r="I48" s="2055"/>
      <c r="J48" s="2055"/>
      <c r="K48" s="2055"/>
      <c r="L48" s="2056"/>
      <c r="M48" s="2057"/>
      <c r="N48" s="2057"/>
      <c r="O48" s="2057"/>
      <c r="P48" s="2104"/>
      <c r="Q48" s="2103"/>
      <c r="R48" s="1045"/>
      <c r="S48" s="2185" t="str">
        <f>INDEX(PT_DIFFERENTIATION_NUM_CS,MATCH(C48,PT_DIFFERENTIATION_CS_ID,0))</f>
        <v>..</v>
      </c>
      <c r="T48" s="1001" t="s">
        <v>604</v>
      </c>
      <c r="U48" s="992"/>
      <c r="V48" s="2935"/>
      <c r="W48" s="2935"/>
      <c r="X48" s="2935"/>
      <c r="Y48" s="2935"/>
      <c r="Z48" s="2935"/>
      <c r="AA48" s="2935"/>
      <c r="AB48" s="2935"/>
      <c r="AC48" s="2936"/>
      <c r="AD48" s="2934" t="str">
        <f>INDEX(PT_DIFFERENTIATION_CS,MATCH(C48,PT_DIFFERENTIATION_CS_ID,0))</f>
        <v/>
      </c>
      <c r="AE48" s="2935"/>
      <c r="AF48" s="2935"/>
      <c r="AG48" s="2935"/>
      <c r="AH48" s="2935"/>
      <c r="AI48" s="2935"/>
      <c r="AJ48" s="2935"/>
      <c r="AK48" s="2935"/>
      <c r="AL48" s="2935"/>
      <c r="AM48" s="2935"/>
      <c r="AN48" s="2935"/>
      <c r="AO48" s="2935"/>
      <c r="AP48" s="2935"/>
      <c r="AQ48" s="2935"/>
      <c r="AR48" s="2935"/>
      <c r="AS48" s="2935"/>
      <c r="AT48" s="2935"/>
      <c r="AU48" s="2935"/>
      <c r="AV48" s="2935"/>
      <c r="AW48" s="2935"/>
      <c r="AX48" s="2935"/>
      <c r="AY48" s="2935"/>
      <c r="AZ48" s="2935"/>
      <c r="BA48" s="2935"/>
      <c r="BB48" s="2936"/>
      <c r="BC48" s="1950" t="s">
        <v>605</v>
      </c>
      <c r="BE48" s="1192"/>
      <c r="BF48" s="1192" t="str">
        <f>IF(T48="","",T48)</f>
        <v>Наименование централизованной системы горячего водоснабжения</v>
      </c>
      <c r="BG48" s="1192"/>
      <c r="BH48" s="1192"/>
      <c r="BI48" s="1847">
        <v>34</v>
      </c>
    </row>
    <row s="61695" customFormat="1" customHeight="1" ht="0">
      <c r="A49" s="2035" t="s">
        <v>336</v>
      </c>
      <c r="B49" s="2035" t="s">
        <v>337</v>
      </c>
      <c r="C49" s="2035" t="s">
        <v>338</v>
      </c>
      <c r="D49" s="2035" t="s">
        <v>618</v>
      </c>
      <c r="E49" s="2951"/>
      <c r="F49" s="2951"/>
      <c r="G49" s="2951"/>
      <c r="H49" s="2950">
        <v>1</v>
      </c>
      <c r="I49" s="2035"/>
      <c r="J49" s="2035"/>
      <c r="K49" s="2035"/>
      <c r="L49" s="2038"/>
      <c r="M49" s="2007"/>
      <c r="N49" s="2007"/>
      <c r="O49" s="2007"/>
      <c r="P49" s="2189"/>
      <c r="Q49" s="2190"/>
      <c r="R49" s="1049"/>
      <c r="S49" s="1734"/>
      <c r="T49" s="2191"/>
      <c r="U49" s="2076"/>
      <c r="V49" s="2989"/>
      <c r="W49" s="2989"/>
      <c r="X49" s="2989"/>
      <c r="Y49" s="2989"/>
      <c r="Z49" s="2989"/>
      <c r="AA49" s="2989"/>
      <c r="AB49" s="2989"/>
      <c r="AC49" s="2990"/>
      <c r="AD49" s="2988"/>
      <c r="AE49" s="2989"/>
      <c r="AF49" s="2989"/>
      <c r="AG49" s="2989"/>
      <c r="AH49" s="2989"/>
      <c r="AI49" s="2989"/>
      <c r="AJ49" s="2989"/>
      <c r="AK49" s="2989"/>
      <c r="AL49" s="2989"/>
      <c r="AM49" s="2989"/>
      <c r="AN49" s="2989"/>
      <c r="AO49" s="2989"/>
      <c r="AP49" s="2989"/>
      <c r="AQ49" s="2989"/>
      <c r="AR49" s="2989"/>
      <c r="AS49" s="2989"/>
      <c r="AT49" s="2989"/>
      <c r="AU49" s="2989"/>
      <c r="AV49" s="2989"/>
      <c r="AW49" s="2989"/>
      <c r="AX49" s="2989"/>
      <c r="AY49" s="2989"/>
      <c r="AZ49" s="2989"/>
      <c r="BA49" s="2989"/>
      <c r="BB49" s="2990"/>
      <c r="BC49" s="2077" t="s">
        <v>477</v>
      </c>
      <c r="BE49" s="1192"/>
      <c r="BF49" s="1192" t="str">
        <f>IF(T49="","",T49)</f>
        <v/>
      </c>
      <c r="BG49" s="1192"/>
      <c r="BH49" s="1192"/>
      <c r="BI49" s="1203">
        <v>0</v>
      </c>
    </row>
    <row s="61695" customFormat="1" customHeight="1" ht="0">
      <c r="A50" s="2035" t="s">
        <v>336</v>
      </c>
      <c r="B50" s="2035" t="s">
        <v>337</v>
      </c>
      <c r="C50" s="2035" t="s">
        <v>338</v>
      </c>
      <c r="D50" s="2035" t="s">
        <v>618</v>
      </c>
      <c r="E50" s="2951"/>
      <c r="F50" s="2951"/>
      <c r="G50" s="2951"/>
      <c r="H50" s="2951"/>
      <c r="I50" s="2948" t="str">
        <f>S49&amp;".1"</f>
        <v>.1</v>
      </c>
      <c r="J50" s="2035"/>
      <c r="K50" s="2035"/>
      <c r="L50" s="2038" t="s">
        <v>478</v>
      </c>
      <c r="M50" s="1202"/>
      <c r="N50" s="1202"/>
      <c r="O50" s="1202"/>
      <c r="P50" s="2949">
        <v>1</v>
      </c>
      <c r="Q50" s="2173"/>
      <c r="R50" s="1048"/>
      <c r="S50" s="1734"/>
      <c r="T50" s="2075"/>
      <c r="U50" s="2076"/>
      <c r="V50" s="2989"/>
      <c r="W50" s="2989"/>
      <c r="X50" s="2989"/>
      <c r="Y50" s="2989"/>
      <c r="Z50" s="2989"/>
      <c r="AA50" s="2989"/>
      <c r="AB50" s="2989"/>
      <c r="AC50" s="2990"/>
      <c r="AD50" s="2988"/>
      <c r="AE50" s="2989"/>
      <c r="AF50" s="2989"/>
      <c r="AG50" s="2989"/>
      <c r="AH50" s="2989"/>
      <c r="AI50" s="2989"/>
      <c r="AJ50" s="2989"/>
      <c r="AK50" s="2989"/>
      <c r="AL50" s="2989"/>
      <c r="AM50" s="2989"/>
      <c r="AN50" s="2989"/>
      <c r="AO50" s="2989"/>
      <c r="AP50" s="2989"/>
      <c r="AQ50" s="2989"/>
      <c r="AR50" s="2989"/>
      <c r="AS50" s="2989"/>
      <c r="AT50" s="2989"/>
      <c r="AU50" s="2989"/>
      <c r="AV50" s="2989"/>
      <c r="AW50" s="2989"/>
      <c r="AX50" s="2989"/>
      <c r="AY50" s="2989"/>
      <c r="AZ50" s="2989"/>
      <c r="BA50" s="2989"/>
      <c r="BB50" s="2990"/>
      <c r="BC50" s="2077"/>
      <c r="BE50" s="1192"/>
      <c r="BF50" s="1192" t="str">
        <f>IF(T50="","",T50)</f>
        <v/>
      </c>
      <c r="BG50" s="1192"/>
      <c r="BH50" s="1192"/>
      <c r="BI50" s="1203">
        <v>0</v>
      </c>
    </row>
    <row s="61695" customFormat="1" customHeight="1" ht="0">
      <c r="A51" s="2035" t="s">
        <v>336</v>
      </c>
      <c r="B51" s="2035" t="s">
        <v>337</v>
      </c>
      <c r="C51" s="2035" t="s">
        <v>338</v>
      </c>
      <c r="D51" s="2035" t="s">
        <v>618</v>
      </c>
      <c r="E51" s="2951"/>
      <c r="F51" s="2951"/>
      <c r="G51" s="2951"/>
      <c r="H51" s="2951"/>
      <c r="I51" s="2978"/>
      <c r="J51" s="2948" t="str">
        <f>S49&amp;".1"</f>
        <v>.1</v>
      </c>
      <c r="K51" s="2035"/>
      <c r="L51" s="2038"/>
      <c r="M51" s="1202"/>
      <c r="N51" s="1202"/>
      <c r="O51" s="1202"/>
      <c r="P51" s="2949"/>
      <c r="Q51" s="2949">
        <v>1</v>
      </c>
      <c r="R51" s="1049"/>
      <c r="S51" s="1734"/>
      <c r="T51" s="2091"/>
      <c r="U51" s="2076"/>
      <c r="V51" s="2989"/>
      <c r="W51" s="2989"/>
      <c r="X51" s="2989"/>
      <c r="Y51" s="2989"/>
      <c r="Z51" s="2989"/>
      <c r="AA51" s="2989"/>
      <c r="AB51" s="2989"/>
      <c r="AC51" s="2990"/>
      <c r="AD51" s="2988"/>
      <c r="AE51" s="2989"/>
      <c r="AF51" s="2989"/>
      <c r="AG51" s="2989"/>
      <c r="AH51" s="2989"/>
      <c r="AI51" s="2989"/>
      <c r="AJ51" s="2989"/>
      <c r="AK51" s="2989"/>
      <c r="AL51" s="2989"/>
      <c r="AM51" s="2989"/>
      <c r="AN51" s="3056"/>
      <c r="AO51" s="3056"/>
      <c r="AP51" s="2989"/>
      <c r="AQ51" s="2989"/>
      <c r="AR51" s="2989"/>
      <c r="AS51" s="2989"/>
      <c r="AT51" s="2989"/>
      <c r="AU51" s="2989"/>
      <c r="AV51" s="2989"/>
      <c r="AW51" s="2989"/>
      <c r="AX51" s="2989"/>
      <c r="AY51" s="2989"/>
      <c r="AZ51" s="2989"/>
      <c r="BA51" s="2989"/>
      <c r="BB51" s="2990"/>
      <c r="BC51" s="2077"/>
      <c r="BE51" s="1192"/>
      <c r="BF51" s="1192" t="str">
        <f>IF(T51="","",T51)</f>
        <v/>
      </c>
      <c r="BG51" s="1192"/>
      <c r="BH51" s="1192"/>
      <c r="BI51" s="1203">
        <v>0</v>
      </c>
    </row>
    <row customHeight="1" ht="11.549999999999999">
      <c r="A52" s="2055" t="s">
        <v>336</v>
      </c>
      <c r="B52" s="2055" t="s">
        <v>337</v>
      </c>
      <c r="C52" s="2055" t="s">
        <v>338</v>
      </c>
      <c r="D52" s="2055" t="s">
        <v>618</v>
      </c>
      <c r="E52" s="2951"/>
      <c r="F52" s="2951"/>
      <c r="G52" s="2951"/>
      <c r="H52" s="2951"/>
      <c r="I52" s="2978"/>
      <c r="J52" s="2978"/>
      <c r="K52" s="2948" t="str">
        <f>S48&amp;".1"</f>
        <v>...1</v>
      </c>
      <c r="L52" s="2056"/>
      <c r="P52" s="2949"/>
      <c r="Q52" s="2949"/>
      <c r="R52" s="1049">
        <v>1</v>
      </c>
      <c r="S52" s="3033" t="str">
        <f>$K52</f>
        <v>...1</v>
      </c>
      <c r="T52" s="3052"/>
      <c r="U52" s="992"/>
      <c r="V52" s="1443"/>
      <c r="W52" s="1949"/>
      <c r="X52" s="1443"/>
      <c r="Y52" s="1949"/>
      <c r="Z52" s="2426"/>
      <c r="AA52" s="2161" t="s">
        <v>67</v>
      </c>
      <c r="AB52" s="2426"/>
      <c r="AC52" s="2161" t="s">
        <v>67</v>
      </c>
      <c r="AD52" s="2877" t="s">
        <v>67</v>
      </c>
      <c r="AE52" s="3018"/>
      <c r="AF52" s="2897">
        <v>1</v>
      </c>
      <c r="AG52" s="3055"/>
      <c r="AH52" s="2799" t="s">
        <v>67</v>
      </c>
      <c r="AI52" s="3018"/>
      <c r="AJ52" s="2897">
        <v>1</v>
      </c>
      <c r="AK52" s="3019" t="s">
        <v>28</v>
      </c>
      <c r="AL52" s="2799" t="s">
        <v>67</v>
      </c>
      <c r="AM52" s="2884"/>
      <c r="AN52" s="2897">
        <v>1</v>
      </c>
      <c r="AO52" s="3049"/>
      <c r="AP52" s="3050" t="s">
        <v>67</v>
      </c>
      <c r="AQ52" s="1003"/>
      <c r="AR52" s="2178">
        <v>1</v>
      </c>
      <c r="AS52" s="2184" t="s">
        <v>28</v>
      </c>
      <c r="AT52" s="1443"/>
      <c r="AU52" s="1949"/>
      <c r="AV52" s="1443"/>
      <c r="AW52" s="1949"/>
      <c r="AX52" s="2426"/>
      <c r="AY52" s="2161" t="s">
        <v>67</v>
      </c>
      <c r="AZ52" s="2426"/>
      <c r="BA52" s="2161" t="s">
        <v>67</v>
      </c>
      <c r="BB52" s="2040"/>
      <c r="BC52" s="2945" t="s">
        <v>575</v>
      </c>
      <c r="BE52" s="1192"/>
      <c r="BF52" s="1192" t="str">
        <f>IF(T52="","",T52)</f>
        <v/>
      </c>
      <c r="BG52" s="1192"/>
      <c r="BH52" s="1192"/>
      <c r="BI52" s="1847">
        <v>11</v>
      </c>
    </row>
    <row customHeight="1" ht="11.549999999999999">
      <c r="A53" s="2055"/>
      <c r="B53" s="2055"/>
      <c r="C53" s="2055"/>
      <c r="D53" s="2055"/>
      <c r="E53" s="2951"/>
      <c r="F53" s="2951"/>
      <c r="G53" s="2951"/>
      <c r="H53" s="2951"/>
      <c r="I53" s="2978"/>
      <c r="J53" s="2978"/>
      <c r="K53" s="2948"/>
      <c r="L53" s="2056"/>
      <c r="P53" s="2949"/>
      <c r="Q53" s="2949"/>
      <c r="R53" s="1049"/>
      <c r="S53" s="3034"/>
      <c r="T53" s="3053"/>
      <c r="U53" s="992"/>
      <c r="V53" s="2085"/>
      <c r="W53" s="2188"/>
      <c r="X53" s="2085"/>
      <c r="Y53" s="2188"/>
      <c r="Z53" s="2085"/>
      <c r="AA53" s="2085"/>
      <c r="AB53" s="2085"/>
      <c r="AC53" s="2085"/>
      <c r="AD53" s="2878"/>
      <c r="AE53" s="3018"/>
      <c r="AF53" s="2897"/>
      <c r="AG53" s="3055"/>
      <c r="AH53" s="2799"/>
      <c r="AI53" s="3018"/>
      <c r="AJ53" s="2897"/>
      <c r="AK53" s="3019"/>
      <c r="AL53" s="2799"/>
      <c r="AM53" s="2892"/>
      <c r="AN53" s="2897"/>
      <c r="AO53" s="3049"/>
      <c r="AP53" s="3051"/>
      <c r="AQ53" s="1008"/>
      <c r="AR53" s="1108"/>
      <c r="AS53" s="1108" t="s">
        <v>576</v>
      </c>
      <c r="AT53" s="2085"/>
      <c r="AU53" s="2188"/>
      <c r="AV53" s="2085"/>
      <c r="AW53" s="2188"/>
      <c r="AX53" s="2085"/>
      <c r="AY53" s="2085"/>
      <c r="AZ53" s="2085"/>
      <c r="BA53" s="2085"/>
      <c r="BB53" s="2089"/>
      <c r="BC53" s="2946"/>
      <c r="BE53" s="1192"/>
      <c r="BF53" s="1192"/>
      <c r="BG53" s="1192"/>
      <c r="BH53" s="1192"/>
      <c r="BI53" s="1847">
        <v>11</v>
      </c>
    </row>
    <row customHeight="1" ht="11.549999999999999">
      <c r="A54" s="2055" t="s">
        <v>336</v>
      </c>
      <c r="B54" s="2055"/>
      <c r="C54" s="2055"/>
      <c r="D54" s="2055"/>
      <c r="E54" s="2951"/>
      <c r="F54" s="2951"/>
      <c r="G54" s="2951"/>
      <c r="H54" s="2951"/>
      <c r="I54" s="2978"/>
      <c r="J54" s="2978"/>
      <c r="K54" s="2948"/>
      <c r="L54" s="2056"/>
      <c r="P54" s="2949"/>
      <c r="Q54" s="2949"/>
      <c r="R54" s="1049"/>
      <c r="S54" s="3034"/>
      <c r="T54" s="3053"/>
      <c r="U54" s="992"/>
      <c r="V54" s="2085"/>
      <c r="W54" s="2188"/>
      <c r="X54" s="2085"/>
      <c r="Y54" s="2188"/>
      <c r="Z54" s="2085"/>
      <c r="AA54" s="2085"/>
      <c r="AB54" s="2085"/>
      <c r="AC54" s="2085"/>
      <c r="AD54" s="2878"/>
      <c r="AE54" s="3018"/>
      <c r="AF54" s="2897"/>
      <c r="AG54" s="3055"/>
      <c r="AH54" s="2799"/>
      <c r="AI54" s="3018"/>
      <c r="AJ54" s="2897"/>
      <c r="AK54" s="3019"/>
      <c r="AL54" s="2799"/>
      <c r="AM54" s="1008"/>
      <c r="AN54" s="2192"/>
      <c r="AO54" s="2192" t="s">
        <v>577</v>
      </c>
      <c r="AP54" s="1108"/>
      <c r="AQ54" s="1108"/>
      <c r="AR54" s="1108"/>
      <c r="AS54" s="2085"/>
      <c r="AT54" s="2085"/>
      <c r="AU54" s="2188"/>
      <c r="AV54" s="2085"/>
      <c r="AW54" s="2188"/>
      <c r="AX54" s="2085"/>
      <c r="AY54" s="2085"/>
      <c r="AZ54" s="2085"/>
      <c r="BA54" s="2085"/>
      <c r="BB54" s="2089"/>
      <c r="BC54" s="2946"/>
      <c r="BE54" s="1192"/>
      <c r="BF54" s="1192"/>
      <c r="BG54" s="1192"/>
      <c r="BH54" s="1192"/>
      <c r="BI54" s="1847">
        <v>11</v>
      </c>
    </row>
    <row customHeight="1" ht="11.549999999999999">
      <c r="A55" s="2055" t="s">
        <v>336</v>
      </c>
      <c r="B55" s="2055"/>
      <c r="C55" s="2055"/>
      <c r="D55" s="2055"/>
      <c r="E55" s="2951"/>
      <c r="F55" s="2951"/>
      <c r="G55" s="2951"/>
      <c r="H55" s="2951"/>
      <c r="I55" s="2978"/>
      <c r="J55" s="2978"/>
      <c r="K55" s="2948"/>
      <c r="L55" s="2056"/>
      <c r="P55" s="2949"/>
      <c r="Q55" s="2949"/>
      <c r="R55" s="1049"/>
      <c r="S55" s="3034"/>
      <c r="T55" s="3053"/>
      <c r="U55" s="992"/>
      <c r="V55" s="2085"/>
      <c r="W55" s="2188"/>
      <c r="X55" s="2085"/>
      <c r="Y55" s="2188"/>
      <c r="Z55" s="2085"/>
      <c r="AA55" s="2085"/>
      <c r="AB55" s="2085"/>
      <c r="AC55" s="2085"/>
      <c r="AD55" s="2878"/>
      <c r="AE55" s="3018"/>
      <c r="AF55" s="2897"/>
      <c r="AG55" s="3055"/>
      <c r="AH55" s="2799"/>
      <c r="AI55" s="986"/>
      <c r="AJ55" s="1107"/>
      <c r="AK55" s="1005" t="s">
        <v>578</v>
      </c>
      <c r="AL55" s="2085"/>
      <c r="AM55" s="2085"/>
      <c r="AN55" s="2085"/>
      <c r="AO55" s="2085"/>
      <c r="AP55" s="2085"/>
      <c r="AQ55" s="2085"/>
      <c r="AR55" s="2085"/>
      <c r="AS55" s="2085"/>
      <c r="AT55" s="2085"/>
      <c r="AU55" s="2188"/>
      <c r="AV55" s="2085"/>
      <c r="AW55" s="2188"/>
      <c r="AX55" s="2085"/>
      <c r="AY55" s="2085"/>
      <c r="AZ55" s="2085"/>
      <c r="BA55" s="2085"/>
      <c r="BB55" s="2089"/>
      <c r="BC55" s="2946"/>
      <c r="BE55" s="1192"/>
      <c r="BF55" s="1192"/>
      <c r="BG55" s="1192"/>
      <c r="BH55" s="1192"/>
      <c r="BI55" s="1847">
        <v>11</v>
      </c>
    </row>
    <row customHeight="1" ht="11.549999999999999">
      <c r="A56" s="2055" t="s">
        <v>336</v>
      </c>
      <c r="B56" s="2055" t="s">
        <v>337</v>
      </c>
      <c r="C56" s="2055" t="s">
        <v>338</v>
      </c>
      <c r="D56" s="2055" t="s">
        <v>618</v>
      </c>
      <c r="E56" s="2951"/>
      <c r="F56" s="2951"/>
      <c r="G56" s="2951"/>
      <c r="H56" s="2951"/>
      <c r="I56" s="2978"/>
      <c r="J56" s="2978"/>
      <c r="K56" s="2948"/>
      <c r="L56" s="2056"/>
      <c r="P56" s="2949"/>
      <c r="Q56" s="2949"/>
      <c r="R56" s="1049"/>
      <c r="S56" s="3035"/>
      <c r="T56" s="3054"/>
      <c r="U56" s="992"/>
      <c r="V56" s="2085"/>
      <c r="W56" s="2086" t="str">
        <f>Z52&amp;"-"&amp;AB52</f>
        <v>-</v>
      </c>
      <c r="X56" s="2085"/>
      <c r="Y56" s="2086" t="str">
        <f>AB52&amp;"-"&amp;AD52</f>
        <v>-да</v>
      </c>
      <c r="Z56" s="2085"/>
      <c r="AA56" s="2085"/>
      <c r="AB56" s="2085"/>
      <c r="AC56" s="2085"/>
      <c r="AD56" s="2804"/>
      <c r="AE56" s="1004"/>
      <c r="AF56" s="1006"/>
      <c r="AG56" s="1108" t="s">
        <v>579</v>
      </c>
      <c r="AH56" s="2085"/>
      <c r="AI56" s="2085"/>
      <c r="AJ56" s="2085"/>
      <c r="AK56" s="2085"/>
      <c r="AL56" s="2085"/>
      <c r="AM56" s="2085"/>
      <c r="AN56" s="2085"/>
      <c r="AO56" s="2085"/>
      <c r="AP56" s="2085"/>
      <c r="AQ56" s="2085"/>
      <c r="AR56" s="2085"/>
      <c r="AS56" s="2085"/>
      <c r="AT56" s="2085"/>
      <c r="AU56" s="2086" t="str">
        <f>AX52&amp;"-"&amp;AZ52</f>
        <v>-</v>
      </c>
      <c r="AV56" s="2085"/>
      <c r="AW56" s="2086" t="str">
        <f>AZ52&amp;"-"&amp;BB52</f>
        <v>-</v>
      </c>
      <c r="AX56" s="2085"/>
      <c r="AY56" s="2085"/>
      <c r="AZ56" s="2085"/>
      <c r="BA56" s="2085"/>
      <c r="BB56" s="2088" t="str">
        <f>BE52&amp;"-"&amp;BG52</f>
        <v>-</v>
      </c>
      <c r="BC56" s="2946"/>
      <c r="BE56" s="1192"/>
      <c r="BF56" s="1192" t="str">
        <f>IF(T56="","",T56)</f>
        <v/>
      </c>
      <c r="BG56" s="1192"/>
      <c r="BH56" s="1192"/>
      <c r="BI56" s="1847">
        <v>11</v>
      </c>
    </row>
    <row customHeight="1" ht="11.549999999999999">
      <c r="A57" s="2055" t="s">
        <v>336</v>
      </c>
      <c r="B57" s="2055" t="s">
        <v>337</v>
      </c>
      <c r="C57" s="2055" t="s">
        <v>338</v>
      </c>
      <c r="D57" s="2055" t="s">
        <v>618</v>
      </c>
      <c r="E57" s="2951"/>
      <c r="F57" s="2951"/>
      <c r="G57" s="2951"/>
      <c r="H57" s="2951"/>
      <c r="I57" s="2978"/>
      <c r="J57" s="2948"/>
      <c r="K57" s="2055"/>
      <c r="L57" s="2056"/>
      <c r="P57" s="2949"/>
      <c r="Q57" s="2949"/>
      <c r="R57" s="1048"/>
      <c r="S57" s="1970"/>
      <c r="T57" s="979" t="s">
        <v>542</v>
      </c>
      <c r="U57" s="1059"/>
      <c r="V57" s="1059"/>
      <c r="W57" s="1059"/>
      <c r="X57" s="1059"/>
      <c r="Y57" s="1059"/>
      <c r="Z57" s="1059"/>
      <c r="AA57" s="1059"/>
      <c r="AB57" s="1059"/>
      <c r="AC57" s="1016"/>
      <c r="AD57" s="2197"/>
      <c r="AE57" s="1059"/>
      <c r="AF57" s="1059"/>
      <c r="AG57" s="1059"/>
      <c r="AH57" s="1059"/>
      <c r="AI57" s="1059"/>
      <c r="AJ57" s="1059"/>
      <c r="AK57" s="1059"/>
      <c r="AL57" s="1059"/>
      <c r="AM57" s="1059"/>
      <c r="AN57" s="1059"/>
      <c r="AO57" s="1059"/>
      <c r="AP57" s="1059"/>
      <c r="AQ57" s="1059"/>
      <c r="AR57" s="1059"/>
      <c r="AS57" s="1059"/>
      <c r="AT57" s="1059"/>
      <c r="AU57" s="1059"/>
      <c r="AV57" s="1059"/>
      <c r="AW57" s="1059"/>
      <c r="AX57" s="1059"/>
      <c r="AY57" s="1059"/>
      <c r="AZ57" s="1059"/>
      <c r="BA57" s="1059"/>
      <c r="BB57" s="1016"/>
      <c r="BC57" s="2947"/>
      <c r="BE57" s="1192"/>
      <c r="BF57" s="1192" t="str">
        <f>IF(T57="","",T57)</f>
        <v>Добавить строку</v>
      </c>
      <c r="BG57" s="1192"/>
      <c r="BH57" s="1192"/>
      <c r="BI57" s="1847">
        <v>11</v>
      </c>
    </row>
    <row s="61695" customFormat="1" customHeight="1" ht="0">
      <c r="A58" s="2035" t="s">
        <v>336</v>
      </c>
      <c r="B58" s="2035" t="s">
        <v>337</v>
      </c>
      <c r="C58" s="2035" t="s">
        <v>338</v>
      </c>
      <c r="D58" s="2035" t="s">
        <v>618</v>
      </c>
      <c r="E58" s="2951"/>
      <c r="F58" s="2951"/>
      <c r="G58" s="2951"/>
      <c r="H58" s="2951"/>
      <c r="I58" s="2948"/>
      <c r="J58" s="2035"/>
      <c r="K58" s="2035"/>
      <c r="L58" s="2038"/>
      <c r="M58" s="1202"/>
      <c r="N58" s="1202"/>
      <c r="O58" s="1202"/>
      <c r="P58" s="2949"/>
      <c r="Q58" s="2173"/>
      <c r="R58" s="1048"/>
      <c r="S58" s="2078"/>
      <c r="T58" s="2079"/>
      <c r="U58" s="2080"/>
      <c r="V58" s="2080"/>
      <c r="W58" s="2080"/>
      <c r="X58" s="2080"/>
      <c r="Y58" s="2080"/>
      <c r="Z58" s="2080"/>
      <c r="AA58" s="2080"/>
      <c r="AB58" s="2080"/>
      <c r="AC58" s="2080"/>
      <c r="AD58" s="2080"/>
      <c r="AE58" s="2080"/>
      <c r="AF58" s="2080"/>
      <c r="AG58" s="2080"/>
      <c r="AH58" s="2080"/>
      <c r="AI58" s="2080"/>
      <c r="AJ58" s="2080"/>
      <c r="AK58" s="2080"/>
      <c r="AL58" s="2080"/>
      <c r="AM58" s="2080"/>
      <c r="AN58" s="2080"/>
      <c r="AO58" s="2080"/>
      <c r="AP58" s="2080"/>
      <c r="AQ58" s="2080"/>
      <c r="AR58" s="2080"/>
      <c r="AS58" s="2080"/>
      <c r="AT58" s="2080"/>
      <c r="AU58" s="2080"/>
      <c r="AV58" s="2080"/>
      <c r="AW58" s="2080"/>
      <c r="AX58" s="2080"/>
      <c r="AY58" s="2080"/>
      <c r="AZ58" s="2080"/>
      <c r="BA58" s="2080"/>
      <c r="BB58" s="2080"/>
      <c r="BC58" s="2081"/>
      <c r="BE58" s="1192"/>
      <c r="BF58" s="1192" t="str">
        <f>IF(T58="","",T58)</f>
        <v/>
      </c>
      <c r="BG58" s="1192"/>
      <c r="BH58" s="1192"/>
      <c r="BI58" s="1203">
        <v>0</v>
      </c>
    </row>
    <row s="61695" customFormat="1" customHeight="1" ht="0">
      <c r="A59" s="2035" t="s">
        <v>336</v>
      </c>
      <c r="B59" s="2035" t="s">
        <v>337</v>
      </c>
      <c r="C59" s="2035" t="s">
        <v>338</v>
      </c>
      <c r="D59" s="2035" t="s">
        <v>618</v>
      </c>
      <c r="E59" s="2951"/>
      <c r="F59" s="2951"/>
      <c r="G59" s="2951"/>
      <c r="H59" s="2950"/>
      <c r="I59" s="2035"/>
      <c r="J59" s="2035"/>
      <c r="K59" s="2035"/>
      <c r="L59" s="2038"/>
      <c r="M59" s="2007"/>
      <c r="N59" s="2007"/>
      <c r="O59" s="1210"/>
      <c r="P59" s="1072"/>
      <c r="Q59" s="2036"/>
      <c r="R59" s="2093"/>
      <c r="S59" s="2078"/>
      <c r="T59" s="2079"/>
      <c r="U59" s="2080"/>
      <c r="V59" s="2080"/>
      <c r="W59" s="2080"/>
      <c r="X59" s="2080"/>
      <c r="Y59" s="2080"/>
      <c r="Z59" s="2080"/>
      <c r="AA59" s="2080"/>
      <c r="AB59" s="2080"/>
      <c r="AC59" s="2080"/>
      <c r="AD59" s="2080"/>
      <c r="AE59" s="2080"/>
      <c r="AF59" s="2080"/>
      <c r="AG59" s="2080"/>
      <c r="AH59" s="2080"/>
      <c r="AI59" s="2080"/>
      <c r="AJ59" s="2080"/>
      <c r="AK59" s="2080"/>
      <c r="AL59" s="2080"/>
      <c r="AM59" s="2080"/>
      <c r="AN59" s="2080"/>
      <c r="AO59" s="2080"/>
      <c r="AP59" s="2080"/>
      <c r="AQ59" s="2080"/>
      <c r="AR59" s="2080"/>
      <c r="AS59" s="2080"/>
      <c r="AT59" s="2080"/>
      <c r="AU59" s="2080"/>
      <c r="AV59" s="2080"/>
      <c r="AW59" s="2080"/>
      <c r="AX59" s="2080"/>
      <c r="AY59" s="2080"/>
      <c r="AZ59" s="2080"/>
      <c r="BA59" s="2080"/>
      <c r="BB59" s="2080"/>
      <c r="BC59" s="2081"/>
      <c r="BE59" s="1192"/>
      <c r="BF59" s="1192" t="str">
        <f>IF(T59="","",T59)</f>
        <v/>
      </c>
      <c r="BG59" s="1192"/>
      <c r="BH59" s="1192"/>
      <c r="BI59" s="1203">
        <v>0</v>
      </c>
    </row>
    <row s="61695" customFormat="1" customHeight="1" ht="0">
      <c r="A60" s="2035" t="s">
        <v>336</v>
      </c>
      <c r="B60" s="2035" t="s">
        <v>337</v>
      </c>
      <c r="C60" s="2035" t="s">
        <v>338</v>
      </c>
      <c r="D60" s="2006"/>
      <c r="E60" s="2951"/>
      <c r="F60" s="2951"/>
      <c r="G60" s="2950"/>
      <c r="H60" s="2006"/>
      <c r="I60" s="2006"/>
      <c r="J60" s="2006"/>
      <c r="K60" s="2006"/>
      <c r="L60" s="2186"/>
      <c r="M60" s="2007"/>
      <c r="N60" s="2007"/>
      <c r="P60" s="2008"/>
      <c r="Q60" s="2009"/>
      <c r="R60" s="2008"/>
      <c r="S60" s="2014"/>
      <c r="T60" s="2017"/>
      <c r="U60" s="2016"/>
      <c r="V60" s="2016"/>
      <c r="W60" s="2016"/>
      <c r="X60" s="2016"/>
      <c r="Y60" s="2016"/>
      <c r="Z60" s="2016"/>
      <c r="AA60" s="2016"/>
      <c r="AB60" s="2016"/>
      <c r="AC60" s="2016"/>
      <c r="AD60" s="2016"/>
      <c r="AE60" s="2016"/>
      <c r="AF60" s="2016"/>
      <c r="AG60" s="2016"/>
      <c r="AH60" s="2016"/>
      <c r="AI60" s="2016"/>
      <c r="AJ60" s="2016"/>
      <c r="AK60" s="2016"/>
      <c r="AL60" s="2016"/>
      <c r="AM60" s="2016"/>
      <c r="AN60" s="2016"/>
      <c r="AO60" s="2016"/>
      <c r="AP60" s="2016"/>
      <c r="AQ60" s="2016"/>
      <c r="AR60" s="2016"/>
      <c r="AS60" s="2016"/>
      <c r="AT60" s="2016"/>
      <c r="AU60" s="2016"/>
      <c r="AV60" s="2016"/>
      <c r="AW60" s="2016"/>
      <c r="AX60" s="2016"/>
      <c r="AY60" s="2016"/>
      <c r="AZ60" s="2016"/>
      <c r="BA60" s="2016"/>
      <c r="BB60" s="2016"/>
      <c r="BC60" s="2016"/>
      <c r="BE60" s="1481"/>
      <c r="BF60" s="1481" t="str">
        <f>IF(T60="","",T60)</f>
        <v/>
      </c>
      <c r="BG60" s="1481"/>
      <c r="BH60" s="1481"/>
      <c r="BI60" s="1210">
        <v>0</v>
      </c>
    </row>
    <row s="61695" customFormat="1" customHeight="1" ht="0">
      <c r="A61" s="2035" t="s">
        <v>336</v>
      </c>
      <c r="B61" s="2035" t="s">
        <v>337</v>
      </c>
      <c r="C61" s="2006"/>
      <c r="D61" s="2006"/>
      <c r="E61" s="2951"/>
      <c r="F61" s="2950"/>
      <c r="G61" s="2006"/>
      <c r="H61" s="2006"/>
      <c r="I61" s="2006"/>
      <c r="J61" s="2006"/>
      <c r="K61" s="2006"/>
      <c r="L61" s="2186"/>
      <c r="M61" s="2013"/>
      <c r="N61" s="2013"/>
      <c r="P61" s="2008"/>
      <c r="Q61" s="2009"/>
      <c r="R61" s="2008"/>
      <c r="S61" s="2014"/>
      <c r="T61" s="2017" t="s">
        <v>172</v>
      </c>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c r="AS61" s="2016"/>
      <c r="AT61" s="2016"/>
      <c r="AU61" s="2016"/>
      <c r="AV61" s="2016"/>
      <c r="AW61" s="2016"/>
      <c r="AX61" s="2016"/>
      <c r="AY61" s="2016"/>
      <c r="AZ61" s="2016"/>
      <c r="BA61" s="2016"/>
      <c r="BB61" s="2016"/>
      <c r="BC61" s="2016"/>
      <c r="BE61" s="1481"/>
      <c r="BF61" s="1481" t="str">
        <f>IF(T61="","",T61)</f>
        <v>Добавить централизованную систему для дифференциации</v>
      </c>
      <c r="BG61" s="1481"/>
      <c r="BH61" s="1481"/>
      <c r="BI61" s="1210">
        <v>0</v>
      </c>
    </row>
    <row s="61695" customFormat="1" customHeight="1" ht="0">
      <c r="A62" s="2035" t="s">
        <v>336</v>
      </c>
      <c r="B62" s="2035"/>
      <c r="C62" s="2035"/>
      <c r="D62" s="2035"/>
      <c r="E62" s="2950"/>
      <c r="F62" s="2035"/>
      <c r="G62" s="2035"/>
      <c r="H62" s="2035"/>
      <c r="I62" s="2035"/>
      <c r="J62" s="2035"/>
      <c r="K62" s="2035"/>
      <c r="L62" s="2038"/>
      <c r="M62" s="2013"/>
      <c r="N62" s="2013"/>
      <c r="O62" s="1210"/>
      <c r="P62" s="1072"/>
      <c r="Q62" s="2036"/>
      <c r="R62" s="1072"/>
      <c r="S62" s="2014"/>
      <c r="T62" s="2017" t="s">
        <v>173</v>
      </c>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c r="AS62" s="2016"/>
      <c r="AT62" s="2016"/>
      <c r="AU62" s="2016"/>
      <c r="AV62" s="2016"/>
      <c r="AW62" s="2016"/>
      <c r="AX62" s="2016"/>
      <c r="AY62" s="2016"/>
      <c r="AZ62" s="2016"/>
      <c r="BA62" s="2016"/>
      <c r="BB62" s="2016"/>
      <c r="BC62" s="2016"/>
      <c r="BE62" s="1192"/>
      <c r="BF62" s="1192" t="str">
        <f>IF(T62="","",T62)</f>
        <v>Добавить территорию для дифференциации</v>
      </c>
      <c r="BG62" s="1192"/>
      <c r="BH62" s="1192"/>
      <c r="BI62" s="1203">
        <v>0</v>
      </c>
    </row>
    <row s="61695" customFormat="1" customHeight="1" ht="0">
      <c r="A63" s="2006"/>
      <c r="B63" s="2006"/>
      <c r="C63" s="2006"/>
      <c r="D63" s="2006"/>
      <c r="E63" s="2035"/>
      <c r="F63" s="2006"/>
      <c r="G63" s="2006"/>
      <c r="H63" s="2006"/>
      <c r="I63" s="2006"/>
      <c r="J63" s="2006"/>
      <c r="K63" s="2006"/>
      <c r="L63" s="2186"/>
      <c r="M63" s="2013"/>
      <c r="N63" s="2013"/>
      <c r="P63" s="2008"/>
      <c r="Q63" s="2009"/>
      <c r="R63" s="2008"/>
      <c r="S63" s="2014"/>
      <c r="T63" s="2017" t="s">
        <v>186</v>
      </c>
      <c r="U63" s="2016"/>
      <c r="V63" s="2016"/>
      <c r="W63" s="2016"/>
      <c r="X63" s="2016"/>
      <c r="Y63" s="2016"/>
      <c r="Z63" s="2016"/>
      <c r="AA63" s="2016"/>
      <c r="AB63" s="2016"/>
      <c r="AC63" s="2016"/>
      <c r="AD63" s="2016"/>
      <c r="AE63" s="2016"/>
      <c r="AF63" s="2016"/>
      <c r="AG63" s="2016"/>
      <c r="AH63" s="2016"/>
      <c r="AI63" s="2016"/>
      <c r="AJ63" s="2016"/>
      <c r="AK63" s="2016"/>
      <c r="AL63" s="2016"/>
      <c r="AM63" s="2016"/>
      <c r="AN63" s="2016"/>
      <c r="AO63" s="2016"/>
      <c r="AP63" s="2016"/>
      <c r="AQ63" s="2016"/>
      <c r="AR63" s="2016"/>
      <c r="AS63" s="2016"/>
      <c r="AT63" s="2016"/>
      <c r="AU63" s="2016"/>
      <c r="AV63" s="2016"/>
      <c r="AW63" s="2016"/>
      <c r="AX63" s="2016"/>
      <c r="AY63" s="2016"/>
      <c r="AZ63" s="2016"/>
      <c r="BA63" s="2016"/>
      <c r="BB63" s="2016"/>
      <c r="BC63" s="2016"/>
      <c r="BE63" s="1481"/>
      <c r="BF63" s="1481" t="str">
        <f>IF(T63="","",T63)</f>
        <v>Добавить наименование тарифа</v>
      </c>
      <c r="BG63" s="1481"/>
      <c r="BH63" s="1481"/>
      <c r="BI63" s="1210">
        <v>0</v>
      </c>
    </row>
    <row customHeight="1" ht="11.549999999999999">
      <c r="M64" s="1852"/>
      <c r="N64" s="1852"/>
      <c r="O64" s="1229"/>
      <c r="P64" s="1852"/>
      <c r="Q64" s="1852"/>
      <c r="R64" s="1847"/>
      <c r="S64" s="1847"/>
      <c r="BD64" s="1847"/>
      <c r="BE64" s="1847"/>
      <c r="BF64" s="1847"/>
      <c r="BG64" s="1847"/>
      <c r="BH64" s="1847"/>
      <c r="BI64" s="1847">
        <v>11</v>
      </c>
    </row>
    <row customHeight="1" ht="19.95">
      <c r="O65" s="1229"/>
      <c r="S65" s="1945"/>
      <c r="T65" s="2977"/>
      <c r="U65" s="2977"/>
      <c r="V65" s="2977"/>
      <c r="W65" s="2977"/>
      <c r="X65" s="2977"/>
      <c r="Y65" s="2977"/>
      <c r="Z65" s="2977"/>
      <c r="AA65" s="2977"/>
      <c r="AB65" s="2977"/>
      <c r="AC65" s="2977"/>
      <c r="AD65" s="2977"/>
      <c r="AE65" s="2977"/>
      <c r="AF65" s="2977"/>
      <c r="AG65" s="2977"/>
      <c r="AH65" s="2977"/>
      <c r="AI65" s="2977"/>
      <c r="AJ65" s="2977"/>
      <c r="AK65" s="2977"/>
      <c r="AL65" s="2977"/>
      <c r="AM65" s="2977"/>
      <c r="AN65" s="2977"/>
      <c r="AO65" s="2977"/>
      <c r="AP65" s="2977"/>
      <c r="AQ65" s="2977"/>
      <c r="AR65" s="2977"/>
      <c r="AS65" s="2977"/>
      <c r="AT65" s="2977"/>
      <c r="AU65" s="2977"/>
      <c r="AV65" s="2977"/>
      <c r="AW65" s="2977"/>
      <c r="AX65" s="2977"/>
      <c r="AY65" s="2977"/>
      <c r="AZ65" s="2977"/>
      <c r="BA65" s="2977"/>
      <c r="BB65" s="2977"/>
      <c r="BC65" s="2977"/>
      <c r="BI65" s="1847">
        <v>19</v>
      </c>
    </row>
    <row customHeight="1" ht="14.699999999999998">
      <c r="O66" s="1229"/>
      <c r="T66" s="2172"/>
      <c r="U66" s="2172"/>
      <c r="V66" s="2172"/>
      <c r="W66" s="2172"/>
      <c r="X66" s="2172"/>
      <c r="Y66" s="2172"/>
      <c r="Z66" s="2172"/>
      <c r="AA66" s="2172"/>
      <c r="AB66" s="2172"/>
      <c r="AC66" s="2172"/>
      <c r="AD66" s="2172"/>
      <c r="AE66" s="2172"/>
      <c r="AF66" s="2172"/>
      <c r="AG66" s="2172"/>
      <c r="AH66" s="2172"/>
      <c r="AI66" s="2172"/>
      <c r="AJ66" s="2172"/>
      <c r="AK66" s="2172"/>
      <c r="AL66" s="2172"/>
      <c r="AM66" s="2172"/>
      <c r="AN66" s="2172"/>
      <c r="AO66" s="2172"/>
      <c r="AP66" s="2172"/>
      <c r="AQ66" s="2172"/>
      <c r="AR66" s="2172"/>
      <c r="AS66" s="2172"/>
      <c r="AT66" s="2172"/>
      <c r="AU66" s="2172"/>
      <c r="AV66" s="2172"/>
      <c r="AW66" s="2172"/>
      <c r="AX66" s="2172"/>
      <c r="AY66" s="2172"/>
      <c r="AZ66" s="2172"/>
      <c r="BA66" s="2172"/>
      <c r="BB66" s="2172"/>
      <c r="BC66" s="2172"/>
      <c r="BI66" s="1847">
        <v>14</v>
      </c>
    </row>
    <row customHeight="1" ht="19.95">
      <c r="O67" s="1229"/>
      <c r="S67" s="1945"/>
      <c r="T67" s="2977"/>
      <c r="U67" s="2977"/>
      <c r="V67" s="2977"/>
      <c r="W67" s="2977"/>
      <c r="X67" s="2977"/>
      <c r="Y67" s="2977"/>
      <c r="Z67" s="2977"/>
      <c r="AA67" s="2977"/>
      <c r="AB67" s="2977"/>
      <c r="AC67" s="2977"/>
      <c r="AD67" s="2977"/>
      <c r="AE67" s="2977"/>
      <c r="AF67" s="2977"/>
      <c r="AG67" s="2977"/>
      <c r="AH67" s="2977"/>
      <c r="AI67" s="2977"/>
      <c r="AJ67" s="2977"/>
      <c r="AK67" s="2977"/>
      <c r="AL67" s="2977"/>
      <c r="AM67" s="2977"/>
      <c r="AN67" s="2977"/>
      <c r="AO67" s="2977"/>
      <c r="AP67" s="2977"/>
      <c r="AQ67" s="2977"/>
      <c r="AR67" s="2977"/>
      <c r="AS67" s="2977"/>
      <c r="AT67" s="2977"/>
      <c r="AU67" s="2977"/>
      <c r="AV67" s="2977"/>
      <c r="AW67" s="2977"/>
      <c r="AX67" s="2977"/>
      <c r="AY67" s="2977"/>
      <c r="AZ67" s="2977"/>
      <c r="BA67" s="2977"/>
      <c r="BB67" s="2977"/>
      <c r="BC67" s="2977"/>
      <c r="BI67" s="1847">
        <v>19</v>
      </c>
    </row>
    <row customHeight="1" ht="14.699999999999998">
      <c r="O68" s="1229"/>
      <c r="BI68" s="1847">
        <v>14</v>
      </c>
    </row>
    <row customHeight="1" ht="14.25" hidden="1">
      <c r="A69" s="1852" t="s">
        <v>83</v>
      </c>
      <c r="B69" s="1852">
        <v>0</v>
      </c>
      <c r="C69" s="1852">
        <v>0</v>
      </c>
      <c r="D69" s="1852">
        <v>0</v>
      </c>
      <c r="E69" s="1852">
        <v>0</v>
      </c>
      <c r="F69" s="1852">
        <v>0</v>
      </c>
      <c r="G69" s="1852">
        <v>0</v>
      </c>
      <c r="H69" s="1852">
        <v>0</v>
      </c>
      <c r="I69" s="1852">
        <v>0</v>
      </c>
      <c r="J69" s="1852">
        <v>0</v>
      </c>
      <c r="K69" s="1852">
        <v>0</v>
      </c>
      <c r="L69" s="2170">
        <v>0</v>
      </c>
      <c r="M69" s="2054">
        <v>0</v>
      </c>
      <c r="N69" s="2054">
        <v>0</v>
      </c>
      <c r="O69" s="2054">
        <v>0</v>
      </c>
      <c r="P69" s="2054">
        <v>0</v>
      </c>
      <c r="Q69" s="2063">
        <v>0</v>
      </c>
      <c r="R69" s="1036">
        <v>3</v>
      </c>
      <c r="S69" s="1273">
        <v>12</v>
      </c>
      <c r="T69" s="1847">
        <v>31</v>
      </c>
      <c r="U69" s="1847">
        <v>0</v>
      </c>
      <c r="V69" s="1847">
        <v>0</v>
      </c>
      <c r="W69" s="1847">
        <v>0</v>
      </c>
      <c r="X69" s="1847">
        <v>0</v>
      </c>
      <c r="Y69" s="1847">
        <v>0</v>
      </c>
      <c r="Z69" s="1847">
        <v>0</v>
      </c>
      <c r="AA69" s="1847">
        <v>0</v>
      </c>
      <c r="AB69" s="1847">
        <v>0</v>
      </c>
      <c r="AC69" s="1847">
        <v>0</v>
      </c>
      <c r="AD69" s="1847">
        <v>3</v>
      </c>
      <c r="AE69" s="1847">
        <v>3</v>
      </c>
      <c r="AF69" s="1847">
        <v>3</v>
      </c>
      <c r="AG69" s="1847">
        <v>24</v>
      </c>
      <c r="AH69" s="1847">
        <v>3</v>
      </c>
      <c r="AI69" s="1847">
        <v>3</v>
      </c>
      <c r="AJ69" s="1847">
        <v>3</v>
      </c>
      <c r="AK69" s="1847">
        <v>24</v>
      </c>
      <c r="AL69" s="1847">
        <v>3</v>
      </c>
      <c r="AM69" s="1847">
        <v>3</v>
      </c>
      <c r="AN69" s="1847">
        <v>3</v>
      </c>
      <c r="AO69" s="1847">
        <v>18</v>
      </c>
      <c r="AP69" s="1847">
        <v>3</v>
      </c>
      <c r="AQ69" s="1847">
        <v>3</v>
      </c>
      <c r="AR69" s="1847">
        <v>3</v>
      </c>
      <c r="AS69" s="1847">
        <v>18</v>
      </c>
      <c r="AT69" s="1847">
        <v>21</v>
      </c>
      <c r="AU69" s="1847">
        <v>21</v>
      </c>
      <c r="AV69" s="1847">
        <v>21</v>
      </c>
      <c r="AW69" s="1847">
        <v>21</v>
      </c>
      <c r="AX69" s="1847">
        <v>11</v>
      </c>
      <c r="AY69" s="1847">
        <v>3</v>
      </c>
      <c r="AZ69" s="1847">
        <v>11</v>
      </c>
      <c r="BA69" s="1847">
        <v>0</v>
      </c>
      <c r="BB69" s="1847">
        <v>4</v>
      </c>
      <c r="BC69" s="1847">
        <v>115</v>
      </c>
      <c r="BD69" s="1203">
        <v>10</v>
      </c>
      <c r="BE69" s="1203">
        <v>10</v>
      </c>
      <c r="BF69" s="1203">
        <v>10</v>
      </c>
      <c r="BG69" s="1203">
        <v>10</v>
      </c>
      <c r="BH69" s="1203">
        <v>10</v>
      </c>
      <c r="BI69" s="1847">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CFF702-3AE5-DE8F-1555-E784DFF574B5}"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61672" width="10.7109375" hidden="1" customWidth="1"/>
    <col min="2" max="2" style="62148" width="16.8515625" hidden="1" customWidth="1"/>
    <col min="3" max="3" style="61695" width="5.57421875" hidden="1" customWidth="1"/>
    <col min="4" max="4" style="62286" width="3.00390625" customWidth="1"/>
    <col min="5" max="5" style="62286" width="7.00390625" customWidth="1"/>
    <col min="6" max="6" style="62286" width="54.00390625" customWidth="1"/>
    <col min="7" max="7" style="62286" width="10.00390625" customWidth="1"/>
    <col min="8" max="8" style="62286" width="40.7109375" hidden="1" customWidth="1"/>
    <col min="9" max="9" style="62286" width="40.7109375" customWidth="1"/>
    <col min="10" max="10" style="62286" width="102.00390625" customWidth="1"/>
    <col min="11" max="11" style="62148" width="9.00390625" customWidth="1"/>
    <col min="12" max="12" style="61695" width="5.00390625" customWidth="1"/>
    <col min="13" max="13" style="61695" width="3.00390625" customWidth="1"/>
    <col min="14" max="17" style="62148" width="3.00390625" customWidth="1"/>
    <col min="18" max="18" style="61695" width="10.00390625" customWidth="1"/>
    <col min="19" max="19" style="62148" width="34.00390625" customWidth="1"/>
    <col min="20" max="20" style="62148" width="9.00390625" customWidth="1"/>
    <col min="21" max="21" style="61673" width="8.00390625" customWidth="1"/>
    <col min="22" max="26" style="62148" width="8.00390625" customWidth="1"/>
    <col min="27" max="31" style="62759" width="8.00390625" customWidth="1"/>
    <col min="32" max="32" style="62286" width="9.140625" hidden="1"/>
  </cols>
  <sheetData>
    <row customHeight="1" ht="22.5" hidden="1">
      <c r="AF1" s="2323" t="s">
        <v>14</v>
      </c>
    </row>
    <row customHeight="1" ht="23.25" hidden="1">
      <c r="B2" s="2791"/>
      <c r="C2" s="1859" t="s">
        <v>619</v>
      </c>
      <c r="D2" s="2330"/>
      <c r="E2" s="1238">
        <f>B2</f>
        <v>0</v>
      </c>
      <c r="F2" s="1239"/>
      <c r="G2" s="2338" t="s">
        <v>620</v>
      </c>
      <c r="H2" s="2338" t="s">
        <v>620</v>
      </c>
      <c r="I2" s="2338" t="s">
        <v>620</v>
      </c>
      <c r="J2" s="981" t="s">
        <v>621</v>
      </c>
      <c r="K2" s="1235"/>
      <c r="AF2" s="2323">
        <v>0</v>
      </c>
    </row>
    <row s="61695" customFormat="1" customHeight="1" ht="0.75" hidden="1">
      <c r="B3" s="2791"/>
      <c r="C3" s="1859"/>
      <c r="D3" s="1240"/>
      <c r="E3" s="1241"/>
      <c r="F3" s="1242" t="s">
        <v>622</v>
      </c>
      <c r="G3" s="1243"/>
      <c r="H3" s="1243">
        <f>H4*H5+H7</f>
        <v>0</v>
      </c>
      <c r="I3" s="1243">
        <f>I4*I5+I6</f>
        <v>0</v>
      </c>
      <c r="J3" s="1244"/>
      <c r="AF3" s="2328">
        <v>0</v>
      </c>
    </row>
    <row customHeight="1" ht="23.25" hidden="1">
      <c r="B4" s="2791"/>
      <c r="C4" s="1859"/>
      <c r="D4" s="2330"/>
      <c r="E4" s="1238" t="str">
        <f>B2&amp;".1"</f>
        <v>.1</v>
      </c>
      <c r="F4" s="1245" t="s">
        <v>623</v>
      </c>
      <c r="G4" s="1246"/>
      <c r="H4" s="1233"/>
      <c r="I4" s="1233"/>
      <c r="J4" s="981" t="s">
        <v>624</v>
      </c>
      <c r="K4" s="1235"/>
      <c r="AF4" s="2323">
        <v>0</v>
      </c>
    </row>
    <row customHeight="1" ht="18.75" hidden="1">
      <c r="B5" s="2791"/>
      <c r="C5" s="1859"/>
      <c r="D5" s="2330"/>
      <c r="E5" s="1238" t="str">
        <f>B2&amp;".2"</f>
        <v>.2</v>
      </c>
      <c r="F5" s="1245" t="s">
        <v>625</v>
      </c>
      <c r="G5" s="2338" t="s">
        <v>626</v>
      </c>
      <c r="H5" s="1233"/>
      <c r="I5" s="1233"/>
      <c r="J5" s="981"/>
      <c r="K5" s="1235"/>
      <c r="AF5" s="2323">
        <v>0</v>
      </c>
    </row>
    <row customHeight="1" ht="18.75" hidden="1">
      <c r="B6" s="2791"/>
      <c r="C6" s="1859"/>
      <c r="D6" s="2330"/>
      <c r="E6" s="1238" t="str">
        <f>B2&amp;".3"</f>
        <v>.3</v>
      </c>
      <c r="F6" s="1245" t="s">
        <v>627</v>
      </c>
      <c r="G6" s="2338" t="s">
        <v>626</v>
      </c>
      <c r="H6" s="1233"/>
      <c r="I6" s="1233"/>
      <c r="J6" s="981"/>
      <c r="K6" s="1235"/>
      <c r="AF6" s="2323">
        <v>0</v>
      </c>
    </row>
    <row customHeight="1" ht="18.75" hidden="1">
      <c r="B7" s="2791"/>
      <c r="C7" s="1859"/>
      <c r="D7" s="2330"/>
      <c r="E7" s="1238" t="str">
        <f>B2&amp;".4"</f>
        <v>.4</v>
      </c>
      <c r="F7" s="1245" t="s">
        <v>628</v>
      </c>
      <c r="G7" s="2338" t="s">
        <v>620</v>
      </c>
      <c r="H7" s="1247"/>
      <c r="I7" s="1247"/>
      <c r="J7" s="981"/>
      <c r="K7" s="1235"/>
      <c r="AF7" s="2323">
        <v>0</v>
      </c>
    </row>
    <row s="62148" customFormat="1" customHeight="1" ht="11.25" hidden="1">
      <c r="A8" s="1679"/>
      <c r="C8" s="2328"/>
      <c r="D8" s="1229"/>
      <c r="H8" s="1852">
        <v>4</v>
      </c>
      <c r="I8" s="1852">
        <v>4</v>
      </c>
      <c r="L8" s="2328"/>
      <c r="M8" s="2328"/>
      <c r="R8" s="2328"/>
      <c r="AF8" s="1852">
        <v>0</v>
      </c>
    </row>
    <row s="62148" customFormat="1" customHeight="1" ht="22.5" hidden="1">
      <c r="A9" s="1679"/>
      <c r="C9" s="2328"/>
      <c r="D9" s="1230"/>
      <c r="E9" s="2340"/>
      <c r="F9" s="1232"/>
      <c r="G9" s="2338" t="s">
        <v>626</v>
      </c>
      <c r="H9" s="1233"/>
      <c r="I9" s="1233"/>
      <c r="J9" s="1234" t="s">
        <v>629</v>
      </c>
      <c r="K9" s="1235"/>
      <c r="L9" s="2328"/>
      <c r="M9" s="2328"/>
      <c r="R9" s="2328"/>
      <c r="U9" s="1236"/>
      <c r="AA9" s="2324"/>
      <c r="AB9" s="2324"/>
      <c r="AC9" s="2324"/>
      <c r="AD9" s="2324"/>
      <c r="AE9" s="2324"/>
      <c r="AF9" s="1852">
        <v>0</v>
      </c>
    </row>
    <row customHeight="1" ht="11.25" hidden="1">
      <c r="AF10" s="2323">
        <v>0</v>
      </c>
    </row>
    <row customHeight="1" ht="18.75" hidden="1">
      <c r="D11" s="2330"/>
      <c r="E11" s="1238"/>
      <c r="F11" s="1232"/>
      <c r="G11" s="2338" t="s">
        <v>630</v>
      </c>
      <c r="H11" s="1233"/>
      <c r="I11" s="1233"/>
      <c r="J11" s="981" t="s">
        <v>631</v>
      </c>
      <c r="K11" s="1235"/>
      <c r="AF11" s="2323">
        <v>0</v>
      </c>
    </row>
    <row customHeight="1" ht="11.25" hidden="1">
      <c r="AF12" s="2323">
        <v>0</v>
      </c>
    </row>
    <row customHeight="1" ht="22.5" hidden="1">
      <c r="D13" s="2330"/>
      <c r="E13" s="1238"/>
      <c r="F13" s="1232"/>
      <c r="G13" s="1661" t="s">
        <v>632</v>
      </c>
      <c r="H13" s="1237"/>
      <c r="I13" s="1237"/>
      <c r="J13" s="1437" t="s">
        <v>633</v>
      </c>
      <c r="K13" s="1235"/>
      <c r="AF13" s="2323">
        <v>0</v>
      </c>
    </row>
    <row customHeight="1" ht="11.25" hidden="1">
      <c r="AF14" s="2323">
        <v>0</v>
      </c>
    </row>
    <row customHeight="1" ht="22.5" hidden="1">
      <c r="D15" s="2330"/>
      <c r="E15" s="1238"/>
      <c r="F15" s="1232"/>
      <c r="G15" s="2338" t="s">
        <v>634</v>
      </c>
      <c r="H15" s="1237"/>
      <c r="I15" s="1237"/>
      <c r="J15" s="981" t="s">
        <v>635</v>
      </c>
      <c r="K15" s="1235"/>
      <c r="AF15" s="2323">
        <v>0</v>
      </c>
    </row>
    <row customHeight="1" ht="11.25" hidden="1">
      <c r="AF16" s="2323">
        <v>0</v>
      </c>
    </row>
    <row customHeight="1" ht="22.5" hidden="1">
      <c r="D17" s="2330"/>
      <c r="E17" s="1238"/>
      <c r="F17" s="1232"/>
      <c r="G17" s="2338" t="s">
        <v>636</v>
      </c>
      <c r="H17" s="1237"/>
      <c r="I17" s="1237"/>
      <c r="J17" s="981" t="s">
        <v>637</v>
      </c>
      <c r="K17" s="1235"/>
      <c r="AF17" s="2323">
        <v>0</v>
      </c>
    </row>
    <row customHeight="1" ht="11.25" hidden="1">
      <c r="AF18" s="2323">
        <v>0</v>
      </c>
    </row>
    <row s="62759" customFormat="1" customHeight="1" ht="11.25" hidden="1">
      <c r="A19" s="1679"/>
      <c r="B19" s="1852"/>
      <c r="C19" s="2328"/>
      <c r="D19" s="1054"/>
      <c r="J19" s="2324">
        <v>4</v>
      </c>
      <c r="K19" s="1852"/>
      <c r="L19" s="2328"/>
      <c r="M19" s="2328"/>
      <c r="N19" s="1852"/>
      <c r="O19" s="1852"/>
      <c r="P19" s="1852"/>
      <c r="Q19" s="1852"/>
      <c r="R19" s="2328"/>
      <c r="S19" s="1852"/>
      <c r="T19" s="1852"/>
      <c r="U19" s="1236"/>
      <c r="V19" s="1852"/>
      <c r="W19" s="1852"/>
      <c r="X19" s="1852"/>
      <c r="Y19" s="1852"/>
      <c r="Z19" s="1852"/>
      <c r="AF19" s="2324">
        <v>0</v>
      </c>
    </row>
    <row customHeight="1" ht="11.549999999999999">
      <c r="AF20" s="2323">
        <v>11</v>
      </c>
    </row>
    <row customHeight="1" ht="25.2">
      <c r="E21" s="294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940"/>
      <c r="G21" s="2940"/>
      <c r="H21" s="2940"/>
      <c r="I21" s="2940"/>
      <c r="J21" s="1248"/>
      <c r="AF21" s="2323">
        <v>24</v>
      </c>
    </row>
    <row customHeight="1" ht="25.2">
      <c r="E22" s="2941" t="str">
        <f>IF(org=0,"Не определено",org)</f>
        <v>АО "ДГК"</v>
      </c>
      <c r="F22" s="2941"/>
      <c r="G22" s="2941"/>
      <c r="H22" s="2941"/>
      <c r="I22" s="2941"/>
      <c r="AF22" s="2323">
        <v>24</v>
      </c>
    </row>
    <row customHeight="1" ht="11.549999999999999">
      <c r="E23" s="1827"/>
      <c r="F23" s="1827"/>
      <c r="G23" s="1827"/>
      <c r="H23" s="1827"/>
      <c r="I23" s="1827"/>
      <c r="AF23" s="2323">
        <v>11</v>
      </c>
    </row>
    <row s="61695" customFormat="1" customHeight="1" ht="1.05">
      <c r="A24" s="1859"/>
      <c r="D24" s="2334"/>
      <c r="H24" s="1581"/>
      <c r="I24" s="1581" t="s">
        <v>125</v>
      </c>
      <c r="AF24" s="2328">
        <v>1</v>
      </c>
    </row>
    <row customHeight="1" ht="11.549999999999999">
      <c r="E25" s="1403"/>
      <c r="F25" s="3059" t="s">
        <v>114</v>
      </c>
      <c r="G25" s="3060"/>
      <c r="H25" s="2344" t="str">
        <f>IF(H24="","",INDEX(DIFFERENTIATION_UNMERGE_VD,MATCH(H24,DIFFERENTIATION_ID_DIFF,0)))</f>
        <v/>
      </c>
      <c r="I25" s="2344">
        <f>IF(I24="","",INDEX(DIFFERENTIATION_UNMERGE_VD,MATCH(I24,DIFFERENTIATION_ID_DIFF,0)))</f>
        <v>0</v>
      </c>
      <c r="J25" s="2819"/>
      <c r="AF25" s="2323">
        <v>11</v>
      </c>
    </row>
    <row customHeight="1" ht="11.549999999999999">
      <c r="E26" s="1403"/>
      <c r="F26" s="3059" t="s">
        <v>638</v>
      </c>
      <c r="G26" s="3060"/>
      <c r="H26" s="2344" t="str">
        <f>IF(H24="","",INDEX(DIFFERENTIATION_UNMERGE_AREA,MATCH(H24,DIFFERENTIATION_ID_DIFF,0)))</f>
        <v/>
      </c>
      <c r="I26" s="2344" t="str">
        <f>IF(I24="","",INDEX(DIFFERENTIATION_UNMERGE_AREA,MATCH(I24,DIFFERENTIATION_ID_DIFF,0)))</f>
        <v/>
      </c>
      <c r="J26" s="2819"/>
      <c r="AF26" s="2323">
        <v>11</v>
      </c>
    </row>
    <row customHeight="1" ht="11.549999999999999">
      <c r="E27" s="1403"/>
      <c r="F27" s="3059" t="s">
        <v>639</v>
      </c>
      <c r="G27" s="3060"/>
      <c r="H27" s="2344" t="str">
        <f>IF(H24="","",INDEX(DIFFERENTIATION_UNMERGE_SYSTEM,MATCH(H24,DIFFERENTIATION_ID_DIFF,0)))</f>
        <v/>
      </c>
      <c r="I27" s="2344" t="str">
        <f>IF(I24="","",INDEX(DIFFERENTIATION_UNMERGE_SYSTEM,MATCH(I24,DIFFERENTIATION_ID_DIFF,0)))</f>
        <v>без дифференциации</v>
      </c>
      <c r="J27" s="2819"/>
      <c r="AF27" s="2323">
        <v>11</v>
      </c>
    </row>
    <row customHeight="1" ht="11.549999999999999">
      <c r="E28" s="3061" t="s">
        <v>375</v>
      </c>
      <c r="F28" s="3062"/>
      <c r="G28" s="3062"/>
      <c r="H28" s="2337"/>
      <c r="I28" s="2337"/>
      <c r="J28" s="2819"/>
      <c r="AF28" s="2323">
        <v>11</v>
      </c>
    </row>
    <row customHeight="1" ht="24">
      <c r="E29" s="2338" t="s">
        <v>89</v>
      </c>
      <c r="F29" s="2345" t="s">
        <v>377</v>
      </c>
      <c r="G29" s="2345" t="s">
        <v>640</v>
      </c>
      <c r="H29" s="2345" t="s">
        <v>378</v>
      </c>
      <c r="I29" s="2345" t="s">
        <v>378</v>
      </c>
      <c r="J29" s="2819"/>
      <c r="AF29" s="2323">
        <v>23</v>
      </c>
    </row>
    <row customHeight="1" ht="19.95">
      <c r="D30" s="2330"/>
      <c r="E30" s="1238">
        <f>FHD_NUM_P_1</f>
        <v>1</v>
      </c>
      <c r="F30" s="2572" t="str">
        <f>FHD_P_1</f>
        <v>Выручка от регулируемого вида деятельности с распределением по видам деятельности</v>
      </c>
      <c r="G30" s="2570" t="s">
        <v>626</v>
      </c>
      <c r="H30" s="1249"/>
      <c r="I30" s="1249"/>
      <c r="J30" s="981" t="str">
        <f>FHD_NOTE_P_1</f>
        <v>Указывается выручка от регулируемого вида деятельности с распределением по видам деятельности.</v>
      </c>
      <c r="K30" s="1235"/>
      <c r="AF30" s="2323">
        <v>19</v>
      </c>
    </row>
    <row customHeight="1" ht="11.549999999999999">
      <c r="D31" s="2330"/>
      <c r="E31" s="1238">
        <f>FHD_NUM_P_2</f>
        <v>2</v>
      </c>
      <c r="F31" s="2572" t="str">
        <f>FHD_P_2</f>
        <v>Себестоимость производимых товаров (оказываемых услуг) по регулируемому виду деятельности, включая:</v>
      </c>
      <c r="G31" s="2570" t="s">
        <v>626</v>
      </c>
      <c r="H31" s="1250">
        <f>SUMIF($K33:$K71,$K31,H33:H71)</f>
        <v>0</v>
      </c>
      <c r="I31" s="1250">
        <f>SUMIF($K33:$K71,$K31,I33:I71)</f>
        <v>0</v>
      </c>
      <c r="J31" s="981" t="str">
        <f>FHD_NOTE_P_2</f>
        <v>Указывается суммарная себестоимость производимых товаров.</v>
      </c>
      <c r="K31" s="2328" t="s">
        <v>641</v>
      </c>
      <c r="AF31" s="2323">
        <v>11</v>
      </c>
    </row>
    <row customHeight="1" ht="11.549999999999999">
      <c r="D32" s="2330"/>
      <c r="E32" s="1238" t="str">
        <f>FHD_NUM_P_3</f>
        <v>2.1</v>
      </c>
      <c r="F32" s="2216" t="str">
        <f>FHD_P_3</f>
        <v>Расходы на приобретаемую тепловую энергию (мощность), теплоноситель</v>
      </c>
      <c r="G32" s="2570" t="s">
        <v>626</v>
      </c>
      <c r="H32" s="1249"/>
      <c r="I32" s="1249"/>
      <c r="J32" s="981" t="str">
        <f>FHD_NOTE_P_3</f>
        <v/>
      </c>
      <c r="K32" s="2328" t="str">
        <f>IF((LEN(E32)-LEN(SUBSTITUTE(E32,".","")))/LEN(".")=1,"p","")</f>
        <v>p</v>
      </c>
      <c r="AF32" s="2323">
        <v>11</v>
      </c>
    </row>
    <row customHeight="1" ht="11.25">
      <c r="A33" s="3063" t="s">
        <v>642</v>
      </c>
      <c r="D33" s="2330"/>
      <c r="E33" s="1238" t="str">
        <f>FHD_NUM_P_4</f>
        <v>2.2</v>
      </c>
      <c r="F33" s="2216"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570" t="s">
        <v>626</v>
      </c>
      <c r="H33" s="1250">
        <f>SUMIF($F34:$F40,$F3,H34:H40)</f>
        <v>0</v>
      </c>
      <c r="I33" s="1250">
        <f>SUMIF($F34:$F40,$F3,I34:I40)</f>
        <v>0</v>
      </c>
      <c r="J33" s="981" t="str">
        <f>FHD_NOTE_P_4</f>
        <v>Указываются суммарные расходы на приобретение топлива всех видов.</v>
      </c>
      <c r="K33" s="2328" t="str">
        <f>IF((LEN(E33)-LEN(SUBSTITUTE(E33,".","")))/LEN(".")=1,"p","")</f>
        <v>p</v>
      </c>
      <c r="AF33" s="2323">
        <v>0</v>
      </c>
    </row>
    <row s="61193" customFormat="1" customHeight="1" ht="0.75">
      <c r="A34" s="3063"/>
      <c r="B34" s="3064" t="str">
        <f>E33&amp;".0"</f>
        <v>2.2.0</v>
      </c>
      <c r="C34" s="1859"/>
      <c r="D34" s="1252"/>
      <c r="E34" s="1253"/>
      <c r="F34" s="1254"/>
      <c r="G34" s="1255"/>
      <c r="H34" s="1189"/>
      <c r="I34" s="1189"/>
      <c r="J34" s="1256"/>
      <c r="K34" s="2328" t="str">
        <f>IF((LEN(E34)-LEN(SUBSTITUTE(E34,".","")))/LEN(".")=1,"p","")</f>
        <v/>
      </c>
      <c r="L34" s="2328"/>
      <c r="M34" s="2328"/>
      <c r="N34" s="2328"/>
      <c r="O34" s="2328"/>
      <c r="P34" s="2328"/>
      <c r="Q34" s="2328"/>
      <c r="R34" s="2328"/>
      <c r="S34" s="2328"/>
      <c r="T34" s="2328"/>
      <c r="U34" s="1257"/>
      <c r="V34" s="2328"/>
      <c r="W34" s="2328"/>
      <c r="X34" s="2328"/>
      <c r="Y34" s="2328"/>
      <c r="Z34" s="2328"/>
      <c r="AA34" s="1258"/>
      <c r="AB34" s="1258"/>
      <c r="AC34" s="1258"/>
      <c r="AD34" s="1258"/>
      <c r="AE34" s="1258"/>
      <c r="AF34" s="2333">
        <v>0</v>
      </c>
    </row>
    <row s="61193" customFormat="1" customHeight="1" ht="0.75">
      <c r="A35" s="3063"/>
      <c r="B35" s="3064"/>
      <c r="C35" s="1859"/>
      <c r="D35" s="1252"/>
      <c r="E35" s="1259"/>
      <c r="F35" s="1260"/>
      <c r="G35" s="1255"/>
      <c r="H35" s="1261"/>
      <c r="I35" s="1261"/>
      <c r="J35" s="1256"/>
      <c r="K35" s="2328" t="str">
        <f>IF((LEN(E35)-LEN(SUBSTITUTE(E35,".","")))/LEN(".")=1,"p","")</f>
        <v/>
      </c>
      <c r="L35" s="2328"/>
      <c r="M35" s="2328"/>
      <c r="N35" s="2328"/>
      <c r="O35" s="2328"/>
      <c r="P35" s="2328"/>
      <c r="Q35" s="2328"/>
      <c r="R35" s="2328"/>
      <c r="S35" s="2328"/>
      <c r="T35" s="2328"/>
      <c r="U35" s="1257"/>
      <c r="V35" s="2328"/>
      <c r="W35" s="2328"/>
      <c r="X35" s="2328"/>
      <c r="Y35" s="2328"/>
      <c r="Z35" s="2328"/>
      <c r="AA35" s="1258"/>
      <c r="AB35" s="1258"/>
      <c r="AC35" s="1258"/>
      <c r="AD35" s="1258"/>
      <c r="AE35" s="1258"/>
      <c r="AF35" s="2333">
        <v>0</v>
      </c>
    </row>
    <row s="61193" customFormat="1" customHeight="1" ht="0.75">
      <c r="A36" s="3063"/>
      <c r="B36" s="3064"/>
      <c r="C36" s="1859"/>
      <c r="D36" s="1252"/>
      <c r="E36" s="1259"/>
      <c r="F36" s="1260"/>
      <c r="G36" s="1255"/>
      <c r="H36" s="1261"/>
      <c r="I36" s="1261"/>
      <c r="J36" s="1256"/>
      <c r="K36" s="2328" t="str">
        <f>IF((LEN(E36)-LEN(SUBSTITUTE(E36,".","")))/LEN(".")=1,"p","")</f>
        <v/>
      </c>
      <c r="L36" s="2328"/>
      <c r="M36" s="2328"/>
      <c r="N36" s="2328"/>
      <c r="O36" s="2328"/>
      <c r="P36" s="2328"/>
      <c r="Q36" s="2328"/>
      <c r="R36" s="2328"/>
      <c r="S36" s="2328"/>
      <c r="T36" s="2328"/>
      <c r="U36" s="1257"/>
      <c r="V36" s="2328"/>
      <c r="W36" s="2328"/>
      <c r="X36" s="2328"/>
      <c r="Y36" s="2328"/>
      <c r="Z36" s="2328"/>
      <c r="AA36" s="1258"/>
      <c r="AB36" s="1258"/>
      <c r="AC36" s="1258"/>
      <c r="AD36" s="1258"/>
      <c r="AE36" s="1258"/>
      <c r="AF36" s="2333">
        <v>0</v>
      </c>
    </row>
    <row s="61193" customFormat="1" customHeight="1" ht="0.75">
      <c r="A37" s="3063"/>
      <c r="B37" s="3064"/>
      <c r="C37" s="1859"/>
      <c r="D37" s="1252"/>
      <c r="E37" s="1259"/>
      <c r="F37" s="1260"/>
      <c r="G37" s="1255"/>
      <c r="H37" s="1261"/>
      <c r="I37" s="1261"/>
      <c r="J37" s="1256"/>
      <c r="K37" s="2328" t="str">
        <f>IF((LEN(E37)-LEN(SUBSTITUTE(E37,".","")))/LEN(".")=1,"p","")</f>
        <v/>
      </c>
      <c r="L37" s="2328"/>
      <c r="M37" s="2328"/>
      <c r="N37" s="2328"/>
      <c r="O37" s="2328"/>
      <c r="P37" s="2328"/>
      <c r="Q37" s="2328"/>
      <c r="R37" s="2328"/>
      <c r="S37" s="2328"/>
      <c r="T37" s="2328"/>
      <c r="U37" s="1257"/>
      <c r="V37" s="2328"/>
      <c r="W37" s="2328"/>
      <c r="X37" s="2328"/>
      <c r="Y37" s="2328"/>
      <c r="Z37" s="2328"/>
      <c r="AA37" s="1258"/>
      <c r="AB37" s="1258"/>
      <c r="AC37" s="1258"/>
      <c r="AD37" s="1258"/>
      <c r="AE37" s="1258"/>
      <c r="AF37" s="2333">
        <v>0</v>
      </c>
    </row>
    <row s="61193" customFormat="1" customHeight="1" ht="0.75">
      <c r="A38" s="3063"/>
      <c r="B38" s="3064"/>
      <c r="C38" s="1859"/>
      <c r="D38" s="1252"/>
      <c r="E38" s="1259"/>
      <c r="F38" s="1260"/>
      <c r="G38" s="1255"/>
      <c r="H38" s="1261"/>
      <c r="I38" s="1261"/>
      <c r="J38" s="1256"/>
      <c r="K38" s="2328" t="str">
        <f>IF((LEN(E38)-LEN(SUBSTITUTE(E38,".","")))/LEN(".")=1,"p","")</f>
        <v/>
      </c>
      <c r="L38" s="2328"/>
      <c r="M38" s="2328"/>
      <c r="N38" s="2328"/>
      <c r="O38" s="2328"/>
      <c r="P38" s="2328"/>
      <c r="Q38" s="2328"/>
      <c r="R38" s="2328"/>
      <c r="S38" s="2328"/>
      <c r="T38" s="2328"/>
      <c r="U38" s="1257"/>
      <c r="V38" s="2328"/>
      <c r="W38" s="2328"/>
      <c r="X38" s="2328"/>
      <c r="Y38" s="2328"/>
      <c r="Z38" s="2328"/>
      <c r="AA38" s="1258"/>
      <c r="AB38" s="1258"/>
      <c r="AC38" s="1258"/>
      <c r="AD38" s="1258"/>
      <c r="AE38" s="1258"/>
      <c r="AF38" s="2333">
        <v>0</v>
      </c>
    </row>
    <row s="61193" customFormat="1" customHeight="1" ht="0.75">
      <c r="A39" s="3063"/>
      <c r="B39" s="3064"/>
      <c r="C39" s="1859"/>
      <c r="D39" s="1252"/>
      <c r="E39" s="1259"/>
      <c r="F39" s="1260"/>
      <c r="G39" s="1255"/>
      <c r="H39" s="1189"/>
      <c r="I39" s="1189"/>
      <c r="J39" s="1256"/>
      <c r="K39" s="2328" t="str">
        <f>IF((LEN(E39)-LEN(SUBSTITUTE(E39,".","")))/LEN(".")=1,"p","")</f>
        <v/>
      </c>
      <c r="L39" s="2328"/>
      <c r="M39" s="2328"/>
      <c r="N39" s="2328"/>
      <c r="O39" s="2328"/>
      <c r="P39" s="2328"/>
      <c r="Q39" s="2328"/>
      <c r="R39" s="2328"/>
      <c r="S39" s="2328"/>
      <c r="T39" s="2328"/>
      <c r="U39" s="1257"/>
      <c r="V39" s="2328"/>
      <c r="W39" s="2328"/>
      <c r="X39" s="2328"/>
      <c r="Y39" s="2328"/>
      <c r="Z39" s="2328"/>
      <c r="AA39" s="1258"/>
      <c r="AB39" s="1258"/>
      <c r="AC39" s="1258"/>
      <c r="AD39" s="1258"/>
      <c r="AE39" s="1258"/>
      <c r="AF39" s="2333">
        <v>0</v>
      </c>
    </row>
    <row s="62148" customFormat="1" customHeight="1" ht="15">
      <c r="A40" s="3063"/>
      <c r="C40" s="2328"/>
      <c r="D40" s="2325"/>
      <c r="E40" s="1262"/>
      <c r="F40" s="1263" t="s">
        <v>643</v>
      </c>
      <c r="G40" s="1264"/>
      <c r="H40" s="1265"/>
      <c r="I40" s="1265"/>
      <c r="J40" s="993"/>
      <c r="K40" s="2328" t="str">
        <f>IF((LEN(E40)-LEN(SUBSTITUTE(E40,".","")))/LEN(".")=1,"p","")</f>
        <v/>
      </c>
      <c r="L40" s="2328"/>
      <c r="M40" s="2328"/>
      <c r="R40" s="2328"/>
      <c r="U40" s="1236"/>
      <c r="AA40" s="2324"/>
      <c r="AB40" s="2324"/>
      <c r="AC40" s="2324"/>
      <c r="AD40" s="2324"/>
      <c r="AE40" s="2324"/>
      <c r="AF40" s="1852">
        <v>0</v>
      </c>
    </row>
    <row customHeight="1" ht="11.25" hidden="1">
      <c r="A41" s="3063" t="s">
        <v>644</v>
      </c>
      <c r="D41" s="2330"/>
      <c r="E41" s="1238" t="str">
        <f>FHD_NUM_P_5</f>
        <v/>
      </c>
      <c r="F41" s="2216" t="str">
        <f>FHD_P_5</f>
        <v/>
      </c>
      <c r="G41" s="2570" t="s">
        <v>626</v>
      </c>
      <c r="H41" s="1249"/>
      <c r="I41" s="1249"/>
      <c r="J41" s="981" t="str">
        <f>FHD_NOTE_P_5</f>
        <v/>
      </c>
      <c r="K41" s="2328" t="str">
        <f>IF((LEN(E41)-LEN(SUBSTITUTE(E41,".","")))/LEN(".")=1,"p","")</f>
        <v/>
      </c>
      <c r="AF41" s="2323">
        <v>0</v>
      </c>
    </row>
    <row customHeight="1" ht="11.25" hidden="1">
      <c r="A42" s="3063"/>
      <c r="D42" s="2330"/>
      <c r="E42" s="1238" t="str">
        <f>FHD_NUM_P_6</f>
        <v/>
      </c>
      <c r="F42" s="2216" t="str">
        <f>FHD_P_6</f>
        <v/>
      </c>
      <c r="G42" s="2570" t="s">
        <v>626</v>
      </c>
      <c r="H42" s="1249"/>
      <c r="I42" s="1249"/>
      <c r="J42" s="981" t="str">
        <f>FHD_NOTE_P_6</f>
        <v/>
      </c>
      <c r="K42" s="2328" t="str">
        <f>IF((LEN(E42)-LEN(SUBSTITUTE(E42,".","")))/LEN(".")=1,"p","")</f>
        <v/>
      </c>
      <c r="AF42" s="2323">
        <v>0</v>
      </c>
    </row>
    <row customHeight="1" ht="11.25" hidden="1">
      <c r="A43" s="3063"/>
      <c r="D43" s="2330"/>
      <c r="E43" s="1238" t="str">
        <f>FHD_NUM_P_7</f>
        <v/>
      </c>
      <c r="F43" s="2216" t="str">
        <f>FHD_P_7</f>
        <v/>
      </c>
      <c r="G43" s="2570" t="s">
        <v>626</v>
      </c>
      <c r="H43" s="1249"/>
      <c r="I43" s="1249"/>
      <c r="J43" s="981" t="str">
        <f>FHD_NOTE_P_7</f>
        <v/>
      </c>
      <c r="K43" s="2328" t="str">
        <f>IF((LEN(E43)-LEN(SUBSTITUTE(E43,".","")))/LEN(".")=1,"p","")</f>
        <v/>
      </c>
      <c r="AF43" s="2323">
        <v>0</v>
      </c>
    </row>
    <row customHeight="1" ht="11.549999999999999">
      <c r="D44" s="2330"/>
      <c r="E44" s="1238" t="str">
        <f>FHD_NUM_P_8</f>
        <v>2.3</v>
      </c>
      <c r="F44" s="2216" t="str">
        <f>FHD_P_8</f>
        <v>Расходы на приобретаемую электрическую энергию (мощность), используемую в технологическом процессе</v>
      </c>
      <c r="G44" s="2570" t="s">
        <v>626</v>
      </c>
      <c r="H44" s="1249"/>
      <c r="I44" s="1249"/>
      <c r="J44" s="981" t="str">
        <f>FHD_NOTE_P_8</f>
        <v/>
      </c>
      <c r="K44" s="2328" t="str">
        <f>IF((LEN(E44)-LEN(SUBSTITUTE(E44,".","")))/LEN(".")=1,"p","")</f>
        <v>p</v>
      </c>
      <c r="AF44" s="2323">
        <v>11</v>
      </c>
    </row>
    <row customHeight="1" ht="11.549999999999999">
      <c r="D45" s="2330"/>
      <c r="E45" s="1238" t="str">
        <f>FHD_NUM_P_9</f>
        <v>2.3.1</v>
      </c>
      <c r="F45" s="2342" t="str">
        <f>FHD_P_9</f>
        <v>Средневзвешенная стоимость 1 кВт.ч (с учетом мощности)</v>
      </c>
      <c r="G45" s="2570" t="s">
        <v>645</v>
      </c>
      <c r="H45" s="1249"/>
      <c r="I45" s="1249"/>
      <c r="J45" s="981" t="str">
        <f>FHD_NOTE_P_9</f>
        <v/>
      </c>
      <c r="K45" s="2328" t="str">
        <f>IF((LEN(E45)-LEN(SUBSTITUTE(E45,".","")))/LEN(".")=1,"p","")</f>
        <v/>
      </c>
      <c r="AF45" s="2323">
        <v>11</v>
      </c>
    </row>
    <row s="62148" customFormat="1" customHeight="1" ht="11.549999999999999">
      <c r="A46" s="1679"/>
      <c r="C46" s="2328"/>
      <c r="D46" s="1266"/>
      <c r="E46" s="1238" t="str">
        <f>FHD_NUM_P_10</f>
        <v>2.3.2</v>
      </c>
      <c r="F46" s="2342" t="str">
        <f>FHD_P_10</f>
        <v>Объём приобретения электрической энергии</v>
      </c>
      <c r="G46" s="2570" t="s">
        <v>646</v>
      </c>
      <c r="H46" s="1249"/>
      <c r="I46" s="1249"/>
      <c r="J46" s="981" t="str">
        <f>FHD_NOTE_P_10</f>
        <v/>
      </c>
      <c r="K46" s="2328" t="str">
        <f>IF((LEN(E46)-LEN(SUBSTITUTE(E46,".","")))/LEN(".")=1,"p","")</f>
        <v/>
      </c>
      <c r="L46" s="2328"/>
      <c r="M46" s="2328"/>
      <c r="R46" s="2328"/>
      <c r="U46" s="1236"/>
      <c r="AA46" s="2324"/>
      <c r="AB46" s="2324"/>
      <c r="AC46" s="2324"/>
      <c r="AD46" s="2324"/>
      <c r="AE46" s="2324"/>
      <c r="AF46" s="1852">
        <v>11</v>
      </c>
    </row>
    <row s="62148" customFormat="1" customHeight="1" ht="11.25">
      <c r="A47" s="1681" t="s">
        <v>647</v>
      </c>
      <c r="C47" s="2328"/>
      <c r="D47" s="1267"/>
      <c r="E47" s="1238" t="str">
        <f>FHD_NUM_P_11</f>
        <v>2.4</v>
      </c>
      <c r="F47" s="2216" t="str">
        <f>FHD_P_11</f>
        <v>Расходы на приобретение холодной воды, используемой в технологическом процессе</v>
      </c>
      <c r="G47" s="2570" t="s">
        <v>626</v>
      </c>
      <c r="H47" s="1249"/>
      <c r="I47" s="1249"/>
      <c r="J47" s="981" t="str">
        <f>FHD_NOTE_P_11</f>
        <v/>
      </c>
      <c r="K47" s="2328" t="str">
        <f>IF((LEN(E47)-LEN(SUBSTITUTE(E47,".","")))/LEN(".")=1,"p","")</f>
        <v>p</v>
      </c>
      <c r="L47" s="2328"/>
      <c r="M47" s="2328"/>
      <c r="R47" s="2328"/>
      <c r="U47" s="1236"/>
      <c r="AA47" s="2324"/>
      <c r="AB47" s="2324"/>
      <c r="AC47" s="2324"/>
      <c r="AD47" s="2324"/>
      <c r="AE47" s="2324"/>
      <c r="AF47" s="1852">
        <v>0</v>
      </c>
    </row>
    <row s="62148" customFormat="1" customHeight="1" ht="18.75">
      <c r="A48" s="1681" t="s">
        <v>648</v>
      </c>
      <c r="C48" s="2328"/>
      <c r="D48" s="2330"/>
      <c r="E48" s="1238" t="str">
        <f>FHD_NUM_P_12</f>
        <v>2.5</v>
      </c>
      <c r="F48" s="2216" t="str">
        <f>FHD_P_12</f>
        <v>Расходы на  химические реагенты, используемые в технологическом процессе</v>
      </c>
      <c r="G48" s="2570" t="s">
        <v>626</v>
      </c>
      <c r="H48" s="1269"/>
      <c r="I48" s="1269"/>
      <c r="J48" s="981" t="str">
        <f>FHD_NOTE_P_12</f>
        <v/>
      </c>
      <c r="K48" s="2328" t="str">
        <f>IF((LEN(E48)-LEN(SUBSTITUTE(E48,".","")))/LEN(".")=1,"p","")</f>
        <v>p</v>
      </c>
      <c r="L48" s="2328"/>
      <c r="M48" s="2328"/>
      <c r="R48" s="2328"/>
      <c r="U48" s="1236"/>
      <c r="AA48" s="2324"/>
      <c r="AB48" s="2324"/>
      <c r="AC48" s="2324"/>
      <c r="AD48" s="2324"/>
      <c r="AE48" s="2324"/>
      <c r="AF48" s="1852">
        <v>18</v>
      </c>
    </row>
    <row s="61611" customFormat="1" customHeight="1" ht="11.549999999999999">
      <c r="A49" s="1680"/>
      <c r="C49" s="1422"/>
      <c r="D49" s="1365"/>
      <c r="E49" s="1238" t="str">
        <f>FHD_NUM_P_13</f>
        <v>2.6</v>
      </c>
      <c r="F49" s="221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570" t="s">
        <v>626</v>
      </c>
      <c r="H49" s="1249"/>
      <c r="I49" s="1249"/>
      <c r="J49" s="981" t="str">
        <f>FHD_NOTE_P_13</f>
        <v/>
      </c>
      <c r="K49" s="2328" t="str">
        <f>IF((LEN(E49)-LEN(SUBSTITUTE(E49,".","")))/LEN(".")=1,"p","")</f>
        <v>p</v>
      </c>
      <c r="L49" s="1422"/>
      <c r="M49" s="1422"/>
      <c r="R49" s="1422"/>
      <c r="U49" s="1423"/>
      <c r="AA49" s="1424"/>
      <c r="AB49" s="1424"/>
      <c r="AC49" s="1424"/>
      <c r="AD49" s="1424"/>
      <c r="AE49" s="1424"/>
      <c r="AF49" s="1421">
        <v>11</v>
      </c>
    </row>
    <row s="61611" customFormat="1" customHeight="1" ht="11.549999999999999">
      <c r="A50" s="1680"/>
      <c r="C50" s="1422"/>
      <c r="D50" s="1365"/>
      <c r="E50" s="1238" t="str">
        <f>FHD_NUM_P_14</f>
        <v>2.6.1</v>
      </c>
      <c r="F50" s="2342" t="str">
        <f>FHD_P_14</f>
        <v>Расходы на оплату труда основного производственного персонала</v>
      </c>
      <c r="G50" s="2570" t="s">
        <v>626</v>
      </c>
      <c r="H50" s="1249"/>
      <c r="I50" s="1249"/>
      <c r="J50" s="981" t="str">
        <f>FHD_NOTE_P_14</f>
        <v/>
      </c>
      <c r="K50" s="2328" t="str">
        <f>IF((LEN(E50)-LEN(SUBSTITUTE(E50,".","")))/LEN(".")=1,"p","")</f>
        <v/>
      </c>
      <c r="L50" s="1422"/>
      <c r="M50" s="1422"/>
      <c r="R50" s="1422"/>
      <c r="U50" s="1423"/>
      <c r="AA50" s="1424"/>
      <c r="AB50" s="1424"/>
      <c r="AC50" s="1424"/>
      <c r="AD50" s="1424"/>
      <c r="AE50" s="1424"/>
      <c r="AF50" s="1421">
        <v>11</v>
      </c>
    </row>
    <row s="61611" customFormat="1" customHeight="1" ht="11.549999999999999">
      <c r="A51" s="1680"/>
      <c r="C51" s="1422"/>
      <c r="D51" s="1365"/>
      <c r="E51" s="1238" t="str">
        <f>FHD_NUM_P_15</f>
        <v>2.6.2</v>
      </c>
      <c r="F51" s="2342" t="str">
        <f>FHD_P_15</f>
        <v>Страховые взносы на обязательное социальное страхование, выплачиваемые из фонда оплаты труда основного производственного персонала</v>
      </c>
      <c r="G51" s="2570" t="s">
        <v>626</v>
      </c>
      <c r="H51" s="1249"/>
      <c r="I51" s="1249"/>
      <c r="J51" s="981" t="str">
        <f>FHD_NOTE_P_15</f>
        <v/>
      </c>
      <c r="K51" s="2328" t="str">
        <f>IF((LEN(E51)-LEN(SUBSTITUTE(E51,".","")))/LEN(".")=1,"p","")</f>
        <v/>
      </c>
      <c r="L51" s="1422"/>
      <c r="M51" s="1422"/>
      <c r="R51" s="1422"/>
      <c r="U51" s="1423"/>
      <c r="AA51" s="1424"/>
      <c r="AB51" s="1424"/>
      <c r="AC51" s="1424"/>
      <c r="AD51" s="1424"/>
      <c r="AE51" s="1424"/>
      <c r="AF51" s="1421">
        <v>11</v>
      </c>
    </row>
    <row s="62148" customFormat="1" customHeight="1" ht="11.549999999999999">
      <c r="A52" s="1679"/>
      <c r="C52" s="2328"/>
      <c r="D52" s="2330"/>
      <c r="E52" s="1238" t="str">
        <f>FHD_NUM_P_16</f>
        <v>2.7</v>
      </c>
      <c r="F52" s="221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570" t="s">
        <v>626</v>
      </c>
      <c r="H52" s="1249"/>
      <c r="I52" s="1249"/>
      <c r="J52" s="981" t="str">
        <f>FHD_NOTE_P_16</f>
        <v/>
      </c>
      <c r="K52" s="2328" t="str">
        <f>IF((LEN(E52)-LEN(SUBSTITUTE(E52,".","")))/LEN(".")=1,"p","")</f>
        <v>p</v>
      </c>
      <c r="L52" s="2328"/>
      <c r="M52" s="2334"/>
      <c r="N52" s="1229"/>
      <c r="O52" s="1229"/>
      <c r="R52" s="2328"/>
      <c r="U52" s="1236"/>
      <c r="AA52" s="2324"/>
      <c r="AB52" s="2324"/>
      <c r="AC52" s="2324"/>
      <c r="AD52" s="2324"/>
      <c r="AE52" s="2324"/>
      <c r="AF52" s="1852">
        <v>11</v>
      </c>
    </row>
    <row s="62148" customFormat="1" customHeight="1" ht="11.549999999999999">
      <c r="A53" s="1679"/>
      <c r="C53" s="2328"/>
      <c r="D53" s="2330"/>
      <c r="E53" s="1238" t="str">
        <f>FHD_NUM_P_17</f>
        <v>2.7.1</v>
      </c>
      <c r="F53" s="2342" t="str">
        <f>FHD_P_17</f>
        <v>Расходы на оплату труда административно-управленческого персонала</v>
      </c>
      <c r="G53" s="2570" t="s">
        <v>626</v>
      </c>
      <c r="H53" s="1249"/>
      <c r="I53" s="1249"/>
      <c r="J53" s="981" t="str">
        <f>FHD_NOTE_P_17</f>
        <v/>
      </c>
      <c r="K53" s="2328" t="str">
        <f>IF((LEN(E53)-LEN(SUBSTITUTE(E53,".","")))/LEN(".")=1,"p","")</f>
        <v/>
      </c>
      <c r="L53" s="2328"/>
      <c r="M53" s="2334"/>
      <c r="N53" s="1229"/>
      <c r="O53" s="1229"/>
      <c r="R53" s="2328"/>
      <c r="U53" s="1236"/>
      <c r="AA53" s="2324"/>
      <c r="AB53" s="2324"/>
      <c r="AC53" s="2324"/>
      <c r="AD53" s="2324"/>
      <c r="AE53" s="2324"/>
      <c r="AF53" s="1852">
        <v>11</v>
      </c>
    </row>
    <row s="62148" customFormat="1" customHeight="1" ht="11.549999999999999">
      <c r="A54" s="1679"/>
      <c r="C54" s="2328"/>
      <c r="D54" s="2330"/>
      <c r="E54" s="1238" t="str">
        <f>FHD_NUM_P_18</f>
        <v>2.7.2</v>
      </c>
      <c r="F54" s="234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570" t="s">
        <v>626</v>
      </c>
      <c r="H54" s="1249"/>
      <c r="I54" s="1249"/>
      <c r="J54" s="981" t="str">
        <f>FHD_NOTE_P_18</f>
        <v/>
      </c>
      <c r="K54" s="2328" t="str">
        <f>IF((LEN(E54)-LEN(SUBSTITUTE(E54,".","")))/LEN(".")=1,"p","")</f>
        <v/>
      </c>
      <c r="L54" s="2328"/>
      <c r="M54" s="2334"/>
      <c r="N54" s="1229"/>
      <c r="O54" s="1229"/>
      <c r="R54" s="2328"/>
      <c r="U54" s="1236"/>
      <c r="AA54" s="2324"/>
      <c r="AB54" s="2324"/>
      <c r="AC54" s="2324"/>
      <c r="AD54" s="2324"/>
      <c r="AE54" s="2324"/>
      <c r="AF54" s="1852">
        <v>11</v>
      </c>
    </row>
    <row s="62148" customFormat="1" customHeight="1" ht="11.549999999999999">
      <c r="A55" s="1679"/>
      <c r="C55" s="2328"/>
      <c r="D55" s="1267"/>
      <c r="E55" s="1238" t="str">
        <f>FHD_NUM_P_19</f>
        <v>2.8</v>
      </c>
      <c r="F55" s="2216" t="str">
        <f>FHD_P_19</f>
        <v>Расходы на амортизацию основных средств и нематериальных активов</v>
      </c>
      <c r="G55" s="2570" t="s">
        <v>626</v>
      </c>
      <c r="H55" s="1249"/>
      <c r="I55" s="1249"/>
      <c r="J55" s="981" t="str">
        <f>FHD_NOTE_P_19</f>
        <v/>
      </c>
      <c r="K55" s="2328" t="str">
        <f>IF((LEN(E55)-LEN(SUBSTITUTE(E55,".","")))/LEN(".")=1,"p","")</f>
        <v>p</v>
      </c>
      <c r="L55" s="2328"/>
      <c r="M55" s="2328"/>
      <c r="R55" s="2328"/>
      <c r="U55" s="1236"/>
      <c r="AA55" s="2324"/>
      <c r="AB55" s="2324"/>
      <c r="AC55" s="2324"/>
      <c r="AD55" s="2324"/>
      <c r="AE55" s="2324"/>
      <c r="AF55" s="1852">
        <v>11</v>
      </c>
    </row>
    <row s="62148" customFormat="1" customHeight="1" ht="11.549999999999999">
      <c r="A56" s="1679"/>
      <c r="C56" s="2328"/>
      <c r="D56" s="1267"/>
      <c r="E56" s="1238" t="str">
        <f>FHD_NUM_P_20</f>
        <v>2.8.1</v>
      </c>
      <c r="F56" s="2342" t="str">
        <f>FHD_P_20</f>
        <v>Расходы на амортизацию основных средств</v>
      </c>
      <c r="G56" s="2570" t="s">
        <v>626</v>
      </c>
      <c r="H56" s="1249"/>
      <c r="I56" s="1249"/>
      <c r="J56" s="981" t="str">
        <f>FHD_NOTE_P_20</f>
        <v/>
      </c>
      <c r="K56" s="2328" t="str">
        <f>IF((LEN(E56)-LEN(SUBSTITUTE(E56,".","")))/LEN(".")=1,"p","")</f>
        <v/>
      </c>
      <c r="L56" s="2328"/>
      <c r="M56" s="2328"/>
      <c r="R56" s="2328"/>
      <c r="U56" s="1236"/>
      <c r="AA56" s="2324"/>
      <c r="AB56" s="2324"/>
      <c r="AC56" s="2324"/>
      <c r="AD56" s="2324"/>
      <c r="AE56" s="2324"/>
      <c r="AF56" s="1852">
        <v>11</v>
      </c>
    </row>
    <row s="62148" customFormat="1" customHeight="1" ht="11.549999999999999">
      <c r="A57" s="1679"/>
      <c r="C57" s="2328"/>
      <c r="D57" s="1267"/>
      <c r="E57" s="1238" t="str">
        <f>FHD_NUM_P_21</f>
        <v>2.8.2</v>
      </c>
      <c r="F57" s="2342" t="str">
        <f>FHD_P_21</f>
        <v>Расходы на амортизацию нематериальных активов</v>
      </c>
      <c r="G57" s="2570" t="s">
        <v>626</v>
      </c>
      <c r="H57" s="1249"/>
      <c r="I57" s="1249"/>
      <c r="J57" s="981" t="str">
        <f>FHD_NOTE_P_21</f>
        <v/>
      </c>
      <c r="K57" s="2328" t="str">
        <f>IF((LEN(E57)-LEN(SUBSTITUTE(E57,".","")))/LEN(".")=1,"p","")</f>
        <v/>
      </c>
      <c r="L57" s="2328"/>
      <c r="M57" s="2328"/>
      <c r="R57" s="2328"/>
      <c r="U57" s="1236"/>
      <c r="AA57" s="2324"/>
      <c r="AB57" s="2324"/>
      <c r="AC57" s="2324"/>
      <c r="AD57" s="2324"/>
      <c r="AE57" s="2324"/>
      <c r="AF57" s="1852">
        <v>11</v>
      </c>
    </row>
    <row s="62148" customFormat="1" customHeight="1" ht="11.549999999999999">
      <c r="A58" s="1679"/>
      <c r="C58" s="2328"/>
      <c r="D58" s="2330"/>
      <c r="E58" s="1238" t="str">
        <f>FHD_NUM_P_22</f>
        <v>2.9</v>
      </c>
      <c r="F58" s="2216" t="str">
        <f>FHD_P_22</f>
        <v>Расходы на аренду имущества, используемого для осуществления регулируемого вида деятельности</v>
      </c>
      <c r="G58" s="2570" t="s">
        <v>626</v>
      </c>
      <c r="H58" s="1249"/>
      <c r="I58" s="1249"/>
      <c r="J58" s="981" t="str">
        <f>FHD_NOTE_P_22</f>
        <v/>
      </c>
      <c r="K58" s="2328" t="str">
        <f>IF((LEN(E58)-LEN(SUBSTITUTE(E58,".","")))/LEN(".")=1,"p","")</f>
        <v>p</v>
      </c>
      <c r="L58" s="2328"/>
      <c r="M58" s="2328"/>
      <c r="R58" s="2328"/>
      <c r="U58" s="1236"/>
      <c r="AA58" s="2324"/>
      <c r="AB58" s="2324"/>
      <c r="AC58" s="2324"/>
      <c r="AD58" s="2324"/>
      <c r="AE58" s="2324"/>
      <c r="AF58" s="1852">
        <v>11</v>
      </c>
    </row>
    <row s="62148" customFormat="1" customHeight="1" ht="11.549999999999999">
      <c r="A59" s="1679"/>
      <c r="C59" s="2328"/>
      <c r="D59" s="1267"/>
      <c r="E59" s="1238" t="str">
        <f>FHD_NUM_P_23</f>
        <v>2.10</v>
      </c>
      <c r="F59" s="2216" t="str">
        <f>FHD_P_23</f>
        <v>Общепроизводственные расходы, в том числе:</v>
      </c>
      <c r="G59" s="2570" t="s">
        <v>626</v>
      </c>
      <c r="H59" s="1249"/>
      <c r="I59" s="1249"/>
      <c r="J59" s="981" t="str">
        <f>FHD_NOTE_P_23</f>
        <v>Указывается общая сумма общепроизводственных расходов.</v>
      </c>
      <c r="K59" s="2328" t="str">
        <f>IF((LEN(E59)-LEN(SUBSTITUTE(E59,".","")))/LEN(".")=1,"p","")</f>
        <v>p</v>
      </c>
      <c r="L59" s="2328"/>
      <c r="M59" s="2328"/>
      <c r="R59" s="2328"/>
      <c r="U59" s="1236"/>
      <c r="AA59" s="2324"/>
      <c r="AB59" s="2324"/>
      <c r="AC59" s="2324"/>
      <c r="AD59" s="2324"/>
      <c r="AE59" s="2324"/>
      <c r="AF59" s="1852">
        <v>11</v>
      </c>
    </row>
    <row s="62148" customFormat="1" customHeight="1" ht="11.549999999999999">
      <c r="A60" s="1679"/>
      <c r="C60" s="2328"/>
      <c r="D60" s="1267"/>
      <c r="E60" s="1238" t="str">
        <f>FHD_NUM_P_24</f>
        <v>2.10.1</v>
      </c>
      <c r="F60" s="2342" t="str">
        <f>FHD_P_24</f>
        <v>Расходы на текущий ремонт</v>
      </c>
      <c r="G60" s="2570" t="s">
        <v>626</v>
      </c>
      <c r="H60" s="1249"/>
      <c r="I60" s="1249"/>
      <c r="J60" s="981" t="str">
        <f>FHD_NOTE_P_24</f>
        <v>Указываются расходы на текущий ремонт, отнесенные к общепроизводственным расходам.</v>
      </c>
      <c r="K60" s="2328" t="str">
        <f>IF((LEN(E60)-LEN(SUBSTITUTE(E60,".","")))/LEN(".")=1,"p","")</f>
        <v/>
      </c>
      <c r="L60" s="2328"/>
      <c r="M60" s="2328"/>
      <c r="R60" s="2328"/>
      <c r="U60" s="1236"/>
      <c r="AA60" s="2324"/>
      <c r="AB60" s="2324"/>
      <c r="AC60" s="2324"/>
      <c r="AD60" s="2324"/>
      <c r="AE60" s="2324"/>
      <c r="AF60" s="1852">
        <v>11</v>
      </c>
    </row>
    <row s="62148" customFormat="1" customHeight="1" ht="11.549999999999999">
      <c r="A61" s="1679"/>
      <c r="C61" s="2328"/>
      <c r="D61" s="1267"/>
      <c r="E61" s="1238" t="str">
        <f>FHD_NUM_P_25</f>
        <v>2.10.2</v>
      </c>
      <c r="F61" s="2342" t="str">
        <f>FHD_P_25</f>
        <v>Расходы на капитальный ремонт</v>
      </c>
      <c r="G61" s="2570" t="s">
        <v>626</v>
      </c>
      <c r="H61" s="1249"/>
      <c r="I61" s="1249"/>
      <c r="J61" s="981" t="str">
        <f>FHD_NOTE_P_25</f>
        <v>Указываются расходы на капитальный ремонт, отнесенные к общепроизводственным расходам.</v>
      </c>
      <c r="K61" s="2328" t="str">
        <f>IF((LEN(E61)-LEN(SUBSTITUTE(E61,".","")))/LEN(".")=1,"p","")</f>
        <v/>
      </c>
      <c r="L61" s="2328"/>
      <c r="M61" s="2328"/>
      <c r="R61" s="2328"/>
      <c r="U61" s="1236"/>
      <c r="AA61" s="2324"/>
      <c r="AB61" s="2324"/>
      <c r="AC61" s="2324"/>
      <c r="AD61" s="2324"/>
      <c r="AE61" s="2324"/>
      <c r="AF61" s="1852">
        <v>11</v>
      </c>
    </row>
    <row s="62148" customFormat="1" customHeight="1" ht="11.549999999999999">
      <c r="A62" s="1679"/>
      <c r="C62" s="2328"/>
      <c r="D62" s="2330"/>
      <c r="E62" s="1238" t="str">
        <f>FHD_NUM_P_26</f>
        <v>2.11</v>
      </c>
      <c r="F62" s="2216" t="str">
        <f>FHD_P_26</f>
        <v>Общехозяйственные расходы, в том числе:</v>
      </c>
      <c r="G62" s="2570" t="s">
        <v>626</v>
      </c>
      <c r="H62" s="1249"/>
      <c r="I62" s="1249"/>
      <c r="J62" s="981" t="str">
        <f>FHD_NOTE_P_26</f>
        <v>Указывается общая сумма общехозяйственных расходов.</v>
      </c>
      <c r="K62" s="2328" t="str">
        <f>IF((LEN(E62)-LEN(SUBSTITUTE(E62,".","")))/LEN(".")=1,"p","")</f>
        <v>p</v>
      </c>
      <c r="L62" s="2328"/>
      <c r="M62" s="2328"/>
      <c r="R62" s="2328"/>
      <c r="U62" s="1236"/>
      <c r="AA62" s="2324"/>
      <c r="AB62" s="2324"/>
      <c r="AC62" s="2324"/>
      <c r="AD62" s="2324"/>
      <c r="AE62" s="2324"/>
      <c r="AF62" s="1852">
        <v>11</v>
      </c>
    </row>
    <row s="62148" customFormat="1" customHeight="1" ht="11.549999999999999">
      <c r="A63" s="1679"/>
      <c r="C63" s="2328"/>
      <c r="D63" s="2330"/>
      <c r="E63" s="1238" t="str">
        <f>FHD_NUM_P_27</f>
        <v>2.11.1</v>
      </c>
      <c r="F63" s="2342" t="str">
        <f>FHD_P_27</f>
        <v>Расходы на текущий ремонт</v>
      </c>
      <c r="G63" s="2570" t="s">
        <v>626</v>
      </c>
      <c r="H63" s="1249"/>
      <c r="I63" s="1249"/>
      <c r="J63" s="981" t="str">
        <f>FHD_NOTE_P_27</f>
        <v>Указываются расходы на текущий ремонт, отнесенные к общехозяйственным расходам.</v>
      </c>
      <c r="K63" s="2328" t="str">
        <f>IF((LEN(E63)-LEN(SUBSTITUTE(E63,".","")))/LEN(".")=1,"p","")</f>
        <v/>
      </c>
      <c r="L63" s="2328"/>
      <c r="M63" s="2328"/>
      <c r="R63" s="2328"/>
      <c r="U63" s="1236"/>
      <c r="AA63" s="2324"/>
      <c r="AB63" s="2324"/>
      <c r="AC63" s="2324"/>
      <c r="AD63" s="2324"/>
      <c r="AE63" s="2324"/>
      <c r="AF63" s="1852">
        <v>11</v>
      </c>
    </row>
    <row s="62148" customFormat="1" customHeight="1" ht="11.549999999999999">
      <c r="A64" s="1679"/>
      <c r="C64" s="2328"/>
      <c r="D64" s="2330"/>
      <c r="E64" s="1238" t="str">
        <f>FHD_NUM_P_28</f>
        <v>2.11.2</v>
      </c>
      <c r="F64" s="2342" t="str">
        <f>FHD_P_28</f>
        <v>Расходы на капитальный ремонт</v>
      </c>
      <c r="G64" s="2570" t="s">
        <v>626</v>
      </c>
      <c r="H64" s="1249"/>
      <c r="I64" s="1249"/>
      <c r="J64" s="981" t="str">
        <f>FHD_NOTE_P_28</f>
        <v>Указываются расходы на капитальный ремонт, отнесенные к общехозяйственным расходам.</v>
      </c>
      <c r="K64" s="2328" t="str">
        <f>IF((LEN(E64)-LEN(SUBSTITUTE(E64,".","")))/LEN(".")=1,"p","")</f>
        <v/>
      </c>
      <c r="L64" s="2328"/>
      <c r="M64" s="2328"/>
      <c r="R64" s="2328"/>
      <c r="U64" s="1236"/>
      <c r="AA64" s="2324"/>
      <c r="AB64" s="2324"/>
      <c r="AC64" s="2324"/>
      <c r="AD64" s="2324"/>
      <c r="AE64" s="2324"/>
      <c r="AF64" s="1852">
        <v>11</v>
      </c>
    </row>
    <row s="62148" customFormat="1" customHeight="1" ht="11.549999999999999">
      <c r="A65" s="1679"/>
      <c r="C65" s="2328"/>
      <c r="D65" s="2330"/>
      <c r="E65" s="1238" t="str">
        <f>FHD_NUM_P_29</f>
        <v>2.12</v>
      </c>
      <c r="F65" s="2216" t="str">
        <f>FHD_P_29</f>
        <v>Расходы на капитальный и текущий ремонт основных средств</v>
      </c>
      <c r="G65" s="2570" t="s">
        <v>626</v>
      </c>
      <c r="H65" s="1249"/>
      <c r="I65" s="1249"/>
      <c r="J65" s="981"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328" t="str">
        <f>IF((LEN(E65)-LEN(SUBSTITUTE(E65,".","")))/LEN(".")=1,"p","")</f>
        <v>p</v>
      </c>
      <c r="L65" s="2328"/>
      <c r="M65" s="2328"/>
      <c r="R65" s="2328"/>
      <c r="U65" s="1236"/>
      <c r="AA65" s="2324"/>
      <c r="AB65" s="2324"/>
      <c r="AC65" s="2324"/>
      <c r="AD65" s="2324"/>
      <c r="AE65" s="2324"/>
      <c r="AF65" s="1852">
        <v>11</v>
      </c>
    </row>
    <row s="62148" customFormat="1" customHeight="1" ht="11.549999999999999">
      <c r="A66" s="1679"/>
      <c r="C66" s="2328"/>
      <c r="D66" s="2330"/>
      <c r="E66" s="1238" t="str">
        <f>FHD_NUM_P_30</f>
        <v>2.12.1</v>
      </c>
      <c r="F66" s="234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570" t="s">
        <v>381</v>
      </c>
      <c r="H66" s="2341" t="s">
        <v>649</v>
      </c>
      <c r="I66" s="2341" t="s">
        <v>649</v>
      </c>
      <c r="J66" s="981" t="str">
        <f>FHD_NOTE_P_30</f>
        <v/>
      </c>
      <c r="K66" s="2328" t="str">
        <f>IF((LEN(E66)-LEN(SUBSTITUTE(E66,".","")))/LEN(".")=1,"p","")</f>
        <v/>
      </c>
      <c r="L66" s="2328">
        <f>_xlfn.IFERROR(MATCH("есть",B_FHD_FLAG_INDEX_1,0),0)</f>
        <v>0</v>
      </c>
      <c r="M66" s="2328"/>
      <c r="R66" s="2328"/>
      <c r="U66" s="1236"/>
      <c r="AA66" s="2324"/>
      <c r="AB66" s="2324"/>
      <c r="AC66" s="2324"/>
      <c r="AD66" s="2324"/>
      <c r="AE66" s="2324"/>
      <c r="AF66" s="1852">
        <v>11</v>
      </c>
    </row>
    <row s="62148" customFormat="1" customHeight="1" ht="23.25" hidden="1">
      <c r="A67" s="3063" t="s">
        <v>650</v>
      </c>
      <c r="C67" s="2328"/>
      <c r="D67" s="2330"/>
      <c r="E67" s="1238" t="str">
        <f>FHD_NUM_P_31</f>
        <v/>
      </c>
      <c r="F67" s="2216" t="str">
        <f>FHD_P_31</f>
        <v/>
      </c>
      <c r="G67" s="2570" t="s">
        <v>626</v>
      </c>
      <c r="H67" s="1249"/>
      <c r="I67" s="1249"/>
      <c r="J67" s="981" t="str">
        <f>FHD_NOTE_P_31</f>
        <v/>
      </c>
      <c r="K67" s="2328" t="str">
        <f>IF((LEN(E67)-LEN(SUBSTITUTE(E67,".","")))/LEN(".")=1,"p","")</f>
        <v/>
      </c>
      <c r="L67" s="2328"/>
      <c r="M67" s="2328"/>
      <c r="R67" s="2328"/>
      <c r="U67" s="1236"/>
      <c r="AA67" s="2324"/>
      <c r="AB67" s="2324"/>
      <c r="AC67" s="2324"/>
      <c r="AD67" s="2324"/>
      <c r="AE67" s="2324"/>
      <c r="AF67" s="1852">
        <v>22</v>
      </c>
    </row>
    <row s="62148" customFormat="1" customHeight="1" ht="47.25" hidden="1">
      <c r="A68" s="3063"/>
      <c r="C68" s="2328"/>
      <c r="D68" s="2330"/>
      <c r="E68" s="1238" t="str">
        <f>FHD_NUM_P_32</f>
        <v/>
      </c>
      <c r="F68" s="2342" t="str">
        <f>FHD_P_32</f>
        <v/>
      </c>
      <c r="G68" s="2570" t="s">
        <v>381</v>
      </c>
      <c r="H68" s="2341" t="s">
        <v>649</v>
      </c>
      <c r="I68" s="2341" t="s">
        <v>649</v>
      </c>
      <c r="J68" s="981" t="str">
        <f>FHD_NOTE_P_32</f>
        <v/>
      </c>
      <c r="K68" s="2328" t="str">
        <f>IF((LEN(E68)-LEN(SUBSTITUTE(E68,".","")))/LEN(".")=1,"p","")</f>
        <v/>
      </c>
      <c r="L68" s="2328">
        <f>_xlfn.IFERROR(MATCH("есть",B_FHD_FLAG_INDEX_2,0),0)</f>
        <v>0</v>
      </c>
      <c r="M68" s="2328"/>
      <c r="R68" s="2328"/>
      <c r="U68" s="1236"/>
      <c r="AA68" s="2324"/>
      <c r="AB68" s="2324"/>
      <c r="AC68" s="2324"/>
      <c r="AD68" s="2324"/>
      <c r="AE68" s="2324"/>
      <c r="AF68" s="1852">
        <v>45</v>
      </c>
    </row>
    <row s="62148" customFormat="1" customHeight="1" ht="11.549999999999999">
      <c r="A69" s="1679"/>
      <c r="C69" s="2328"/>
      <c r="D69" s="2330"/>
      <c r="E69" s="1238" t="str">
        <f>FHD_NUM_P_33</f>
        <v>2.13</v>
      </c>
      <c r="F69" s="2216" t="str">
        <f>FHD_P_33</f>
        <v>Прочие расходы, которые подлежат отнесению на регулируемые виды деятельности в соответствии с законодательством Российской Федерации</v>
      </c>
      <c r="G69" s="2571" t="s">
        <v>626</v>
      </c>
      <c r="H69" s="1271">
        <f>SUM(H70:H71)</f>
        <v>0</v>
      </c>
      <c r="I69" s="1271">
        <f>SUM(I70:I71)</f>
        <v>0</v>
      </c>
      <c r="J69" s="981"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2328" t="str">
        <f>IF((LEN(E69)-LEN(SUBSTITUTE(E69,".","")))/LEN(".")=1,"p","")</f>
        <v>p</v>
      </c>
      <c r="L69" s="2328"/>
      <c r="M69" s="2328"/>
      <c r="R69" s="2328"/>
      <c r="U69" s="1236"/>
      <c r="AA69" s="2324"/>
      <c r="AB69" s="2324"/>
      <c r="AC69" s="2324"/>
      <c r="AD69" s="2324"/>
      <c r="AE69" s="2324"/>
      <c r="AF69" s="1852">
        <v>11</v>
      </c>
    </row>
    <row s="61695" customFormat="1" customHeight="1" ht="1.05">
      <c r="A70" s="1859"/>
      <c r="D70" s="1240"/>
      <c r="E70" s="1705" t="str">
        <f>E69&amp;".0"</f>
        <v>2.13.0</v>
      </c>
      <c r="F70" s="1683"/>
      <c r="G70" s="1705"/>
      <c r="H70" s="1684"/>
      <c r="I70" s="1684"/>
      <c r="J70" s="1685"/>
      <c r="K70" s="2328" t="str">
        <f>IF((LEN(E70)-LEN(SUBSTITUTE(E70,".","")))/LEN(".")=1,"p","")</f>
        <v/>
      </c>
      <c r="AF70" s="2328">
        <v>1</v>
      </c>
    </row>
    <row s="62148" customFormat="1" customHeight="1" ht="14.699999999999998">
      <c r="A71" s="1679"/>
      <c r="C71" s="2328"/>
      <c r="D71" s="2325"/>
      <c r="E71" s="1262"/>
      <c r="F71" s="1263" t="s">
        <v>651</v>
      </c>
      <c r="G71" s="1264"/>
      <c r="H71" s="1265"/>
      <c r="I71" s="1265"/>
      <c r="J71" s="993"/>
      <c r="K71" s="2328"/>
      <c r="L71" s="2328"/>
      <c r="M71" s="2328"/>
      <c r="R71" s="2328"/>
      <c r="U71" s="1236"/>
      <c r="AA71" s="2324"/>
      <c r="AB71" s="2324"/>
      <c r="AC71" s="2324"/>
      <c r="AD71" s="2324"/>
      <c r="AE71" s="2324"/>
      <c r="AF71" s="1852">
        <v>14</v>
      </c>
    </row>
    <row s="62148" customFormat="1" customHeight="1" ht="18.75">
      <c r="A72" s="1681" t="s">
        <v>652</v>
      </c>
      <c r="C72" s="2328"/>
      <c r="D72" s="2330"/>
      <c r="E72" s="1238" t="str">
        <f>FHD_NUM_P_34</f>
        <v>3</v>
      </c>
      <c r="F72" s="2572" t="str">
        <f>FHD_P_34</f>
        <v>Валовая прибыль (убытки) от реализации товаров и оказания услуг по регулируемому виду деятельности</v>
      </c>
      <c r="G72" s="2570" t="s">
        <v>626</v>
      </c>
      <c r="H72" s="1249"/>
      <c r="I72" s="1249"/>
      <c r="J72" s="981" t="str">
        <f>FHD_NOTE_P_34</f>
        <v/>
      </c>
      <c r="K72" s="1235"/>
      <c r="L72" s="2328"/>
      <c r="M72" s="2328"/>
      <c r="R72" s="2328"/>
      <c r="U72" s="1236"/>
      <c r="AA72" s="2324"/>
      <c r="AB72" s="2324"/>
      <c r="AC72" s="2324"/>
      <c r="AD72" s="2324"/>
      <c r="AE72" s="2324"/>
      <c r="AF72" s="1852">
        <v>0</v>
      </c>
    </row>
    <row s="62148" customFormat="1" customHeight="1" ht="19.95">
      <c r="A73" s="1679"/>
      <c r="C73" s="2328"/>
      <c r="D73" s="1267"/>
      <c r="E73" s="1238" t="str">
        <f>FHD_NUM_P_35</f>
        <v>4</v>
      </c>
      <c r="F73" s="2572" t="str">
        <f>FHD_P_35</f>
        <v>Чистая прибыль, полученная от регулируемого вида деятельности, в том числе:</v>
      </c>
      <c r="G73" s="2570" t="s">
        <v>626</v>
      </c>
      <c r="H73" s="1249"/>
      <c r="I73" s="1249"/>
      <c r="J73" s="981" t="str">
        <f>FHD_NOTE_P_35</f>
        <v>Указывается общая сумма чистой прибыли, полученной от регулируемого вида деятельности.</v>
      </c>
      <c r="K73" s="1235"/>
      <c r="L73" s="2328"/>
      <c r="M73" s="2328"/>
      <c r="R73" s="2328"/>
      <c r="U73" s="1236"/>
      <c r="AA73" s="2324"/>
      <c r="AB73" s="2324"/>
      <c r="AC73" s="2324"/>
      <c r="AD73" s="2324"/>
      <c r="AE73" s="2324"/>
      <c r="AF73" s="1852">
        <v>19</v>
      </c>
    </row>
    <row s="62148" customFormat="1" customHeight="1" ht="19.95">
      <c r="A74" s="1679"/>
      <c r="C74" s="2328"/>
      <c r="D74" s="2330"/>
      <c r="E74" s="1238" t="str">
        <f>FHD_NUM_P_36</f>
        <v>4.1</v>
      </c>
      <c r="F74" s="221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570" t="s">
        <v>626</v>
      </c>
      <c r="H74" s="1249"/>
      <c r="I74" s="1249"/>
      <c r="J74" s="981" t="str">
        <f>FHD_NOTE_P_36</f>
        <v/>
      </c>
      <c r="K74" s="1235"/>
      <c r="L74" s="2328"/>
      <c r="M74" s="2328"/>
      <c r="R74" s="2328"/>
      <c r="U74" s="1236"/>
      <c r="AA74" s="2324"/>
      <c r="AB74" s="2324"/>
      <c r="AC74" s="2324"/>
      <c r="AD74" s="2324"/>
      <c r="AE74" s="2324"/>
      <c r="AF74" s="1852">
        <v>19</v>
      </c>
    </row>
    <row s="62148" customFormat="1" customHeight="1" ht="19.95">
      <c r="A75" s="1679"/>
      <c r="C75" s="2328"/>
      <c r="D75" s="2330"/>
      <c r="E75" s="1238" t="str">
        <f>FHD_NUM_P_37</f>
        <v>5</v>
      </c>
      <c r="F75" s="2572" t="str">
        <f>FHD_P_37</f>
        <v>Изменение стоимости основных фондов, в том числе:</v>
      </c>
      <c r="G75" s="2570" t="s">
        <v>626</v>
      </c>
      <c r="H75" s="1249"/>
      <c r="I75" s="1249"/>
      <c r="J75" s="981" t="str">
        <f>FHD_NOTE_P_37</f>
        <v>Указывается общее изменение стоимости основных фондов.</v>
      </c>
      <c r="K75" s="1235"/>
      <c r="L75" s="2328"/>
      <c r="M75" s="2328"/>
      <c r="R75" s="2328"/>
      <c r="U75" s="1236"/>
      <c r="AA75" s="2324"/>
      <c r="AB75" s="2324"/>
      <c r="AC75" s="2324"/>
      <c r="AD75" s="2324"/>
      <c r="AE75" s="2324"/>
      <c r="AF75" s="1852">
        <v>19</v>
      </c>
    </row>
    <row s="62148" customFormat="1" customHeight="1" ht="19.95">
      <c r="A76" s="1679"/>
      <c r="C76" s="2328"/>
      <c r="D76" s="2330"/>
      <c r="E76" s="1238" t="str">
        <f>FHD_NUM_P_38</f>
        <v>5.1</v>
      </c>
      <c r="F76" s="2216" t="str">
        <f>FHD_P_38</f>
        <v>Изменение стоимости основных фондов за счет:</v>
      </c>
      <c r="G76" s="2570" t="s">
        <v>626</v>
      </c>
      <c r="H76" s="1249"/>
      <c r="I76" s="1249"/>
      <c r="J76" s="981" t="str">
        <f>FHD_NOTE_P_38</f>
        <v>Указываются общее изменение стоимости основных фондов за счет их ввода в эксплуатацию и вывода из эксплуатации.</v>
      </c>
      <c r="K76" s="1235"/>
      <c r="L76" s="2328"/>
      <c r="M76" s="2328"/>
      <c r="R76" s="2328"/>
      <c r="U76" s="1236"/>
      <c r="AA76" s="2324"/>
      <c r="AB76" s="2324"/>
      <c r="AC76" s="2324"/>
      <c r="AD76" s="2324"/>
      <c r="AE76" s="2324"/>
      <c r="AF76" s="1852">
        <v>19</v>
      </c>
    </row>
    <row s="62148" customFormat="1" customHeight="1" ht="19.95">
      <c r="A77" s="1679"/>
      <c r="C77" s="2328"/>
      <c r="D77" s="2330"/>
      <c r="E77" s="1238" t="str">
        <f>FHD_NUM_P_39</f>
        <v>5.1.1</v>
      </c>
      <c r="F77" s="2342" t="str">
        <f>FHD_P_39</f>
        <v>Изменения стоимости основных фондов за счет их ввода в эксплуатацию</v>
      </c>
      <c r="G77" s="2764" t="s">
        <v>626</v>
      </c>
      <c r="H77" s="1249"/>
      <c r="I77" s="1249"/>
      <c r="J77" s="981" t="str">
        <f>FHD_NOTE_P_39</f>
        <v>Указываются изменение стоимости основных фондов за счет их ввода в эксплуатацию.</v>
      </c>
      <c r="K77" s="1235"/>
      <c r="L77" s="2328"/>
      <c r="M77" s="2328"/>
      <c r="R77" s="2328"/>
      <c r="U77" s="1236"/>
      <c r="AA77" s="2324"/>
      <c r="AB77" s="2324"/>
      <c r="AC77" s="2324"/>
      <c r="AD77" s="2324"/>
      <c r="AE77" s="2324"/>
      <c r="AF77" s="1852">
        <v>19</v>
      </c>
    </row>
    <row s="62148" customFormat="1" customHeight="1" ht="19.95">
      <c r="A78" s="1679"/>
      <c r="C78" s="2328"/>
      <c r="D78" s="2330"/>
      <c r="E78" s="1238" t="str">
        <f>FHD_NUM_P_40</f>
        <v>5.1.2</v>
      </c>
      <c r="F78" s="2768" t="str">
        <f>FHD_P_40</f>
        <v>Изменения стоимости основных фондов за счет их вывода в эксплуатацию</v>
      </c>
      <c r="G78" s="2763" t="s">
        <v>626</v>
      </c>
      <c r="H78" s="1668"/>
      <c r="I78" s="1249"/>
      <c r="J78" s="981" t="str">
        <f>FHD_NOTE_P_40</f>
        <v>Указываются изменение стоимости основных фондов за счет их вывода из эксплуатации.</v>
      </c>
      <c r="K78" s="1235"/>
      <c r="L78" s="2328"/>
      <c r="M78" s="2328"/>
      <c r="R78" s="2328"/>
      <c r="U78" s="1236"/>
      <c r="AA78" s="2324"/>
      <c r="AB78" s="2324"/>
      <c r="AC78" s="2324"/>
      <c r="AD78" s="2324"/>
      <c r="AE78" s="2324"/>
      <c r="AF78" s="1852">
        <v>19</v>
      </c>
    </row>
    <row s="62148" customFormat="1" customHeight="1" ht="19.95">
      <c r="A79" s="1679"/>
      <c r="C79" s="2328"/>
      <c r="D79" s="2330"/>
      <c r="E79" s="1238" t="str">
        <f>FHD_NUM_P_41</f>
        <v>5.2</v>
      </c>
      <c r="F79" s="2767" t="str">
        <f>FHD_P_41</f>
        <v>Изменение стоимости основных фондов за счет их переоценки</v>
      </c>
      <c r="G79" s="2763" t="s">
        <v>626</v>
      </c>
      <c r="H79" s="1668"/>
      <c r="I79" s="1249"/>
      <c r="J79" s="981" t="str">
        <f>FHD_NOTE_P_41</f>
        <v/>
      </c>
      <c r="K79" s="1235"/>
      <c r="L79" s="2328"/>
      <c r="M79" s="2328"/>
      <c r="R79" s="2328"/>
      <c r="U79" s="1236"/>
      <c r="AA79" s="2324"/>
      <c r="AB79" s="2324"/>
      <c r="AC79" s="2324"/>
      <c r="AD79" s="2324"/>
      <c r="AE79" s="2324"/>
      <c r="AF79" s="1852">
        <v>19</v>
      </c>
    </row>
    <row s="62148" customFormat="1" customHeight="1" ht="20.25" hidden="1">
      <c r="A80" s="1681" t="s">
        <v>653</v>
      </c>
      <c r="C80" s="2328"/>
      <c r="D80" s="2330"/>
      <c r="E80" s="1238" t="str">
        <f>FHD_NUM_P_42</f>
        <v/>
      </c>
      <c r="F80" s="2765" t="str">
        <f>FHD_P_42</f>
        <v/>
      </c>
      <c r="G80" s="2763" t="s">
        <v>626</v>
      </c>
      <c r="H80" s="1668"/>
      <c r="I80" s="1249"/>
      <c r="J80" s="981" t="str">
        <f>FHD_NOTE_P_42</f>
        <v/>
      </c>
      <c r="K80" s="1235"/>
      <c r="L80" s="2328"/>
      <c r="M80" s="2328"/>
      <c r="R80" s="2328"/>
      <c r="U80" s="1236"/>
      <c r="AA80" s="2324"/>
      <c r="AB80" s="2324"/>
      <c r="AC80" s="2324"/>
      <c r="AD80" s="2324"/>
      <c r="AE80" s="2324"/>
      <c r="AF80" s="1852">
        <v>19</v>
      </c>
    </row>
    <row s="62148" customFormat="1" customHeight="1" ht="19.95">
      <c r="A81" s="1679"/>
      <c r="C81" s="2328"/>
      <c r="D81" s="2330"/>
      <c r="E81" s="1238" t="str">
        <f>FHD_NUM_P_43</f>
        <v>6</v>
      </c>
      <c r="F81" s="2572" t="str">
        <f>FHD_P_43</f>
        <v>Годовая бухгалтерская (финансовая) отчетность, включая бухгалтерский баланс и приложения к нему</v>
      </c>
      <c r="G81" s="2766" t="s">
        <v>381</v>
      </c>
      <c r="H81" s="1747"/>
      <c r="I81" s="1510"/>
      <c r="J81" s="981"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1235"/>
      <c r="L81" s="2328"/>
      <c r="M81" s="2328"/>
      <c r="R81" s="2328"/>
      <c r="U81" s="1236"/>
      <c r="AA81" s="2324"/>
      <c r="AB81" s="2324"/>
      <c r="AC81" s="2324"/>
      <c r="AD81" s="2324"/>
      <c r="AE81" s="2324"/>
      <c r="AF81" s="1852">
        <v>19</v>
      </c>
    </row>
    <row s="62148" customFormat="1" customHeight="1" ht="18.75" hidden="1">
      <c r="A82" s="3063" t="s">
        <v>654</v>
      </c>
      <c r="C82" s="1427"/>
      <c r="D82" s="1425"/>
      <c r="E82" s="1238" t="str">
        <f>FHD_NUM_P_44</f>
        <v/>
      </c>
      <c r="F82" s="2572" t="str">
        <f>FHD_P_44</f>
        <v/>
      </c>
      <c r="G82" s="2573" t="s">
        <v>655</v>
      </c>
      <c r="H82" s="1669"/>
      <c r="I82" s="1269"/>
      <c r="J82" s="981" t="str">
        <f>FHD_NOTE_P_44</f>
        <v/>
      </c>
      <c r="K82" s="1426"/>
      <c r="L82" s="1427"/>
      <c r="M82" s="1427"/>
      <c r="R82" s="1427"/>
      <c r="U82" s="1428"/>
      <c r="AA82" s="1429"/>
      <c r="AB82" s="1429"/>
      <c r="AC82" s="1429"/>
      <c r="AD82" s="1429"/>
      <c r="AE82" s="1429"/>
      <c r="AF82" s="1602">
        <v>0</v>
      </c>
    </row>
    <row s="62148" customFormat="1" customHeight="1" ht="18.75" hidden="1">
      <c r="A83" s="3063"/>
      <c r="C83" s="1427"/>
      <c r="D83" s="1425"/>
      <c r="E83" s="1238" t="str">
        <f>FHD_NUM_P_45</f>
        <v/>
      </c>
      <c r="F83" s="2572" t="str">
        <f>FHD_P_45</f>
        <v/>
      </c>
      <c r="G83" s="2573" t="s">
        <v>655</v>
      </c>
      <c r="H83" s="1669"/>
      <c r="I83" s="1269"/>
      <c r="J83" s="981" t="str">
        <f>FHD_NOTE_P_45</f>
        <v/>
      </c>
      <c r="K83" s="1426"/>
      <c r="L83" s="1427"/>
      <c r="M83" s="1427"/>
      <c r="R83" s="1427"/>
      <c r="U83" s="1428"/>
      <c r="AA83" s="1429"/>
      <c r="AB83" s="1429"/>
      <c r="AC83" s="1429"/>
      <c r="AD83" s="1429"/>
      <c r="AE83" s="1429"/>
      <c r="AF83" s="1602">
        <v>0</v>
      </c>
    </row>
    <row s="62148" customFormat="1" customHeight="1" ht="18.75" hidden="1">
      <c r="A84" s="3063"/>
      <c r="C84" s="1427"/>
      <c r="D84" s="1430"/>
      <c r="E84" s="1238" t="str">
        <f>FHD_NUM_P_46</f>
        <v/>
      </c>
      <c r="F84" s="2572" t="str">
        <f>FHD_P_46</f>
        <v/>
      </c>
      <c r="G84" s="2573" t="s">
        <v>655</v>
      </c>
      <c r="H84" s="1669"/>
      <c r="I84" s="1269"/>
      <c r="J84" s="981" t="str">
        <f>FHD_NOTE_P_46</f>
        <v/>
      </c>
      <c r="K84" s="1426"/>
      <c r="L84" s="1427"/>
      <c r="M84" s="1427"/>
      <c r="R84" s="1427"/>
      <c r="U84" s="1428"/>
      <c r="AA84" s="1429"/>
      <c r="AB84" s="1429"/>
      <c r="AC84" s="1429"/>
      <c r="AD84" s="1429"/>
      <c r="AE84" s="1429"/>
      <c r="AF84" s="1602">
        <v>0</v>
      </c>
    </row>
    <row s="62148" customFormat="1" customHeight="1" ht="18.75" hidden="1">
      <c r="A85" s="3063"/>
      <c r="C85" s="1427"/>
      <c r="D85" s="1425"/>
      <c r="E85" s="1238" t="str">
        <f>FHD_NUM_P_47</f>
        <v/>
      </c>
      <c r="F85" s="2572" t="str">
        <f>FHD_P_47</f>
        <v/>
      </c>
      <c r="G85" s="2573" t="s">
        <v>655</v>
      </c>
      <c r="H85" s="1669"/>
      <c r="I85" s="1269"/>
      <c r="J85" s="981" t="str">
        <f>FHD_NOTE_P_47</f>
        <v/>
      </c>
      <c r="K85" s="1426"/>
      <c r="L85" s="1427"/>
      <c r="M85" s="1427"/>
      <c r="R85" s="1427"/>
      <c r="U85" s="1428"/>
      <c r="AA85" s="1429"/>
      <c r="AB85" s="1429"/>
      <c r="AC85" s="1429"/>
      <c r="AD85" s="1429"/>
      <c r="AE85" s="1429"/>
      <c r="AF85" s="1602">
        <v>0</v>
      </c>
    </row>
    <row s="62286" customFormat="1" customHeight="1" ht="18.75" hidden="1">
      <c r="A86" s="3063"/>
      <c r="B86" s="1602"/>
      <c r="C86" s="1427"/>
      <c r="D86" s="1425"/>
      <c r="E86" s="1238" t="str">
        <f>FHD_NUM_P_48</f>
        <v/>
      </c>
      <c r="F86" s="2572" t="str">
        <f>FHD_P_48</f>
        <v/>
      </c>
      <c r="G86" s="2573" t="s">
        <v>655</v>
      </c>
      <c r="H86" s="1669"/>
      <c r="I86" s="1269"/>
      <c r="J86" s="981" t="str">
        <f>FHD_NOTE_P_48</f>
        <v/>
      </c>
      <c r="K86" s="1426"/>
      <c r="L86" s="1427"/>
      <c r="M86" s="1427"/>
      <c r="N86" s="1602"/>
      <c r="O86" s="1602"/>
      <c r="P86" s="1602"/>
      <c r="Q86" s="1602"/>
      <c r="R86" s="1427"/>
      <c r="S86" s="1602"/>
      <c r="T86" s="1602"/>
      <c r="U86" s="1428"/>
      <c r="V86" s="1602"/>
      <c r="W86" s="1602"/>
      <c r="X86" s="1602"/>
      <c r="Y86" s="1602"/>
      <c r="Z86" s="1602"/>
      <c r="AA86" s="1429"/>
      <c r="AB86" s="1429"/>
      <c r="AC86" s="1429"/>
      <c r="AD86" s="1429"/>
      <c r="AE86" s="1429"/>
      <c r="AF86" s="1431">
        <v>0</v>
      </c>
    </row>
    <row s="62286" customFormat="1" customHeight="1" ht="18.75" hidden="1">
      <c r="A87" s="3063"/>
      <c r="B87" s="1602"/>
      <c r="C87" s="1427"/>
      <c r="D87" s="1425"/>
      <c r="E87" s="1238" t="str">
        <f>FHD_NUM_P_49</f>
        <v/>
      </c>
      <c r="F87" s="2572" t="str">
        <f>FHD_P_49</f>
        <v/>
      </c>
      <c r="G87" s="2573" t="s">
        <v>655</v>
      </c>
      <c r="H87" s="1670">
        <f>SUM(H88:H89)</f>
        <v>0</v>
      </c>
      <c r="I87" s="1441">
        <f>SUM(I88:I89)</f>
        <v>0</v>
      </c>
      <c r="J87" s="981" t="str">
        <f>FHD_NOTE_P_49</f>
        <v/>
      </c>
      <c r="K87" s="1426"/>
      <c r="L87" s="1427"/>
      <c r="M87" s="1427"/>
      <c r="N87" s="1602"/>
      <c r="O87" s="1602"/>
      <c r="P87" s="1602"/>
      <c r="Q87" s="1602"/>
      <c r="R87" s="1427"/>
      <c r="S87" s="1602"/>
      <c r="T87" s="1602"/>
      <c r="U87" s="1428"/>
      <c r="V87" s="1602"/>
      <c r="W87" s="1602"/>
      <c r="X87" s="1602"/>
      <c r="Y87" s="1602"/>
      <c r="Z87" s="1602"/>
      <c r="AA87" s="1429"/>
      <c r="AB87" s="1429"/>
      <c r="AC87" s="1429"/>
      <c r="AD87" s="1429"/>
      <c r="AE87" s="1429"/>
      <c r="AF87" s="1431">
        <v>0</v>
      </c>
    </row>
    <row s="62286" customFormat="1" customHeight="1" ht="18.75" hidden="1">
      <c r="A88" s="3063"/>
      <c r="B88" s="1602"/>
      <c r="C88" s="1427"/>
      <c r="D88" s="1425"/>
      <c r="E88" s="1238" t="str">
        <f>FHD_NUM_P_50</f>
        <v/>
      </c>
      <c r="F88" s="2572" t="str">
        <f>FHD_P_50</f>
        <v/>
      </c>
      <c r="G88" s="2573" t="s">
        <v>655</v>
      </c>
      <c r="H88" s="1669"/>
      <c r="I88" s="1269"/>
      <c r="J88" s="981" t="str">
        <f>FHD_NOTE_P_50</f>
        <v/>
      </c>
      <c r="K88" s="1426"/>
      <c r="L88" s="1427"/>
      <c r="M88" s="1427"/>
      <c r="N88" s="1602"/>
      <c r="O88" s="1602"/>
      <c r="P88" s="1602"/>
      <c r="Q88" s="1602"/>
      <c r="R88" s="1427"/>
      <c r="S88" s="1602"/>
      <c r="T88" s="1602"/>
      <c r="U88" s="1428"/>
      <c r="V88" s="1602"/>
      <c r="W88" s="1602"/>
      <c r="X88" s="1602"/>
      <c r="Y88" s="1602"/>
      <c r="Z88" s="1602"/>
      <c r="AA88" s="1429"/>
      <c r="AB88" s="1429"/>
      <c r="AC88" s="1429"/>
      <c r="AD88" s="1429"/>
      <c r="AE88" s="1429"/>
      <c r="AF88" s="1431">
        <v>0</v>
      </c>
    </row>
    <row s="62286" customFormat="1" customHeight="1" ht="18.75" hidden="1">
      <c r="A89" s="3063"/>
      <c r="B89" s="1602"/>
      <c r="C89" s="1427"/>
      <c r="D89" s="1425"/>
      <c r="E89" s="1238" t="str">
        <f>FHD_NUM_P_51</f>
        <v/>
      </c>
      <c r="F89" s="2572" t="str">
        <f>FHD_P_51</f>
        <v/>
      </c>
      <c r="G89" s="2573" t="s">
        <v>655</v>
      </c>
      <c r="H89" s="1669"/>
      <c r="I89" s="1269"/>
      <c r="J89" s="981" t="str">
        <f>FHD_NOTE_P_51</f>
        <v/>
      </c>
      <c r="K89" s="1426"/>
      <c r="L89" s="1427"/>
      <c r="M89" s="1427"/>
      <c r="N89" s="1602"/>
      <c r="O89" s="1602"/>
      <c r="P89" s="1602"/>
      <c r="Q89" s="1602"/>
      <c r="R89" s="1427"/>
      <c r="S89" s="1602"/>
      <c r="T89" s="1602"/>
      <c r="U89" s="1428"/>
      <c r="V89" s="1602"/>
      <c r="W89" s="1602"/>
      <c r="X89" s="1602"/>
      <c r="Y89" s="1602"/>
      <c r="Z89" s="1602"/>
      <c r="AA89" s="1429"/>
      <c r="AB89" s="1429"/>
      <c r="AC89" s="1429"/>
      <c r="AD89" s="1429"/>
      <c r="AE89" s="1429"/>
      <c r="AF89" s="1431">
        <v>0</v>
      </c>
    </row>
    <row s="62286" customFormat="1" customHeight="1" ht="18.75" hidden="1">
      <c r="A90" s="3063"/>
      <c r="B90" s="1602"/>
      <c r="C90" s="1427"/>
      <c r="D90" s="1425"/>
      <c r="E90" s="1238" t="str">
        <f>FHD_NUM_P_52</f>
        <v/>
      </c>
      <c r="F90" s="2572" t="str">
        <f>FHD_P_52</f>
        <v/>
      </c>
      <c r="G90" s="2573" t="s">
        <v>632</v>
      </c>
      <c r="H90" s="1668"/>
      <c r="I90" s="1249"/>
      <c r="J90" s="981" t="str">
        <f>FHD_NOTE_P_52</f>
        <v/>
      </c>
      <c r="K90" s="1426"/>
      <c r="L90" s="1427"/>
      <c r="M90" s="1427"/>
      <c r="N90" s="1602"/>
      <c r="O90" s="1602"/>
      <c r="P90" s="1602"/>
      <c r="Q90" s="1602"/>
      <c r="R90" s="1427"/>
      <c r="S90" s="1602"/>
      <c r="T90" s="1602"/>
      <c r="U90" s="1428"/>
      <c r="V90" s="1602"/>
      <c r="W90" s="1602"/>
      <c r="X90" s="1602"/>
      <c r="Y90" s="1602"/>
      <c r="Z90" s="1602"/>
      <c r="AA90" s="1429"/>
      <c r="AB90" s="1429"/>
      <c r="AC90" s="1429"/>
      <c r="AD90" s="1429"/>
      <c r="AE90" s="1429"/>
      <c r="AF90" s="1431">
        <v>0</v>
      </c>
    </row>
    <row s="62148" customFormat="1" customHeight="1" ht="18.75" hidden="1">
      <c r="A91" s="3065" t="s">
        <v>656</v>
      </c>
      <c r="C91" s="1427"/>
      <c r="D91" s="1425"/>
      <c r="E91" s="1238" t="str">
        <f>FHD_NUM_P_53</f>
        <v/>
      </c>
      <c r="F91" s="2572" t="str">
        <f>FHD_P_53</f>
        <v/>
      </c>
      <c r="G91" s="2573" t="s">
        <v>655</v>
      </c>
      <c r="H91" s="1669"/>
      <c r="I91" s="1269"/>
      <c r="J91" s="981" t="str">
        <f>FHD_NOTE_P_53</f>
        <v/>
      </c>
      <c r="K91" s="1426"/>
      <c r="L91" s="1427"/>
      <c r="M91" s="1427"/>
      <c r="R91" s="1427"/>
      <c r="U91" s="1428"/>
      <c r="AA91" s="1429"/>
      <c r="AB91" s="1429"/>
      <c r="AC91" s="1429"/>
      <c r="AD91" s="1429"/>
      <c r="AE91" s="1429"/>
      <c r="AF91" s="1602">
        <v>0</v>
      </c>
    </row>
    <row s="62148" customFormat="1" customHeight="1" ht="18.75" hidden="1">
      <c r="A92" s="3065"/>
      <c r="C92" s="1427"/>
      <c r="D92" s="1425"/>
      <c r="E92" s="1238" t="str">
        <f>FHD_NUM_P_54</f>
        <v/>
      </c>
      <c r="F92" s="2572" t="str">
        <f>FHD_P_54</f>
        <v/>
      </c>
      <c r="G92" s="2573" t="s">
        <v>655</v>
      </c>
      <c r="H92" s="1669"/>
      <c r="I92" s="1269"/>
      <c r="J92" s="981" t="str">
        <f>FHD_NOTE_P_54</f>
        <v/>
      </c>
      <c r="K92" s="1426"/>
      <c r="L92" s="1427"/>
      <c r="M92" s="1427"/>
      <c r="R92" s="1427"/>
      <c r="U92" s="1428"/>
      <c r="AA92" s="1429"/>
      <c r="AB92" s="1429"/>
      <c r="AC92" s="1429"/>
      <c r="AD92" s="1429"/>
      <c r="AE92" s="1429"/>
      <c r="AF92" s="1602">
        <v>0</v>
      </c>
    </row>
    <row s="62148" customFormat="1" customHeight="1" ht="18.75" hidden="1">
      <c r="A93" s="3065"/>
      <c r="C93" s="1427"/>
      <c r="D93" s="1430"/>
      <c r="E93" s="1238" t="str">
        <f>FHD_NUM_P_55</f>
        <v/>
      </c>
      <c r="F93" s="2572" t="str">
        <f>FHD_P_55</f>
        <v/>
      </c>
      <c r="G93" s="2576"/>
      <c r="H93" s="1669"/>
      <c r="I93" s="1269"/>
      <c r="J93" s="981" t="str">
        <f>FHD_NOTE_P_55</f>
        <v/>
      </c>
      <c r="K93" s="1426"/>
      <c r="L93" s="1427"/>
      <c r="M93" s="1427"/>
      <c r="R93" s="1427"/>
      <c r="U93" s="1428"/>
      <c r="AA93" s="1429"/>
      <c r="AB93" s="1429"/>
      <c r="AC93" s="1429"/>
      <c r="AD93" s="1429"/>
      <c r="AE93" s="1429"/>
      <c r="AF93" s="1602">
        <v>0</v>
      </c>
    </row>
    <row s="62148" customFormat="1" customHeight="1" ht="18.75" hidden="1">
      <c r="A94" s="3065"/>
      <c r="C94" s="1427"/>
      <c r="D94" s="1425"/>
      <c r="E94" s="1238" t="str">
        <f>FHD_NUM_P_56</f>
        <v/>
      </c>
      <c r="F94" s="2572" t="str">
        <f>FHD_P_56</f>
        <v/>
      </c>
      <c r="G94" s="2573" t="s">
        <v>657</v>
      </c>
      <c r="H94" s="1669"/>
      <c r="I94" s="1269"/>
      <c r="J94" s="981" t="str">
        <f>FHD_NOTE_P_56</f>
        <v/>
      </c>
      <c r="K94" s="1426"/>
      <c r="L94" s="1427"/>
      <c r="M94" s="1427"/>
      <c r="R94" s="1427"/>
      <c r="U94" s="1428"/>
      <c r="AA94" s="1429"/>
      <c r="AB94" s="1429"/>
      <c r="AC94" s="1429"/>
      <c r="AD94" s="1429"/>
      <c r="AE94" s="1429"/>
      <c r="AF94" s="1602">
        <v>0</v>
      </c>
    </row>
    <row s="62286" customFormat="1" customHeight="1" ht="18.75" hidden="1">
      <c r="A95" s="3065"/>
      <c r="B95" s="1602"/>
      <c r="C95" s="1427"/>
      <c r="D95" s="1425"/>
      <c r="E95" s="1238" t="str">
        <f>FHD_NUM_P_57</f>
        <v/>
      </c>
      <c r="F95" s="2572" t="str">
        <f>FHD_P_57</f>
        <v/>
      </c>
      <c r="G95" s="2573" t="s">
        <v>632</v>
      </c>
      <c r="H95" s="1668"/>
      <c r="I95" s="1249"/>
      <c r="J95" s="981" t="str">
        <f>FHD_NOTE_P_57</f>
        <v/>
      </c>
      <c r="K95" s="1426"/>
      <c r="L95" s="1427"/>
      <c r="M95" s="1427"/>
      <c r="N95" s="1602"/>
      <c r="O95" s="1602"/>
      <c r="P95" s="1602"/>
      <c r="Q95" s="1602"/>
      <c r="R95" s="1427"/>
      <c r="S95" s="1602"/>
      <c r="T95" s="1602"/>
      <c r="U95" s="1428"/>
      <c r="V95" s="1602"/>
      <c r="W95" s="1602"/>
      <c r="X95" s="1602"/>
      <c r="Y95" s="1602"/>
      <c r="Z95" s="1602"/>
      <c r="AA95" s="1429"/>
      <c r="AB95" s="1429"/>
      <c r="AC95" s="1429"/>
      <c r="AD95" s="1429"/>
      <c r="AE95" s="1429"/>
      <c r="AF95" s="1431">
        <v>0</v>
      </c>
    </row>
    <row customHeight="1" ht="18.75" hidden="1">
      <c r="A96" s="3063" t="s">
        <v>658</v>
      </c>
      <c r="D96" s="2330"/>
      <c r="E96" s="1238" t="str">
        <f>FHD_NUM_P_58</f>
        <v/>
      </c>
      <c r="F96" s="2572" t="str">
        <f>FHD_P_58</f>
        <v/>
      </c>
      <c r="G96" s="2573" t="s">
        <v>655</v>
      </c>
      <c r="H96" s="1669"/>
      <c r="I96" s="1269"/>
      <c r="J96" s="981" t="str">
        <f>FHD_NOTE_P_58</f>
        <v/>
      </c>
      <c r="K96" s="1235"/>
      <c r="AF96" s="2323">
        <v>0</v>
      </c>
    </row>
    <row customHeight="1" ht="18.75" hidden="1">
      <c r="A97" s="3063"/>
      <c r="D97" s="2330"/>
      <c r="E97" s="1238" t="str">
        <f>FHD_NUM_P_59</f>
        <v/>
      </c>
      <c r="F97" s="2572" t="str">
        <f>FHD_P_59</f>
        <v/>
      </c>
      <c r="G97" s="2573" t="s">
        <v>655</v>
      </c>
      <c r="H97" s="1669"/>
      <c r="I97" s="1269"/>
      <c r="J97" s="981" t="str">
        <f>FHD_NOTE_P_59</f>
        <v/>
      </c>
      <c r="K97" s="1235"/>
      <c r="AF97" s="2323">
        <v>0</v>
      </c>
    </row>
    <row customHeight="1" ht="18.75" hidden="1">
      <c r="A98" s="3063"/>
      <c r="D98" s="2330"/>
      <c r="E98" s="1238" t="str">
        <f>FHD_NUM_P_60</f>
        <v/>
      </c>
      <c r="F98" s="2572" t="str">
        <f>FHD_P_60</f>
        <v/>
      </c>
      <c r="G98" s="2573" t="s">
        <v>655</v>
      </c>
      <c r="H98" s="1669"/>
      <c r="I98" s="1269"/>
      <c r="J98" s="981" t="str">
        <f>FHD_NOTE_P_60</f>
        <v/>
      </c>
      <c r="K98" s="1235"/>
      <c r="AF98" s="2323">
        <v>0</v>
      </c>
    </row>
    <row s="62148" customFormat="1" customHeight="1" ht="18.75">
      <c r="A99" s="3063" t="s">
        <v>659</v>
      </c>
      <c r="C99" s="2328"/>
      <c r="D99" s="2330"/>
      <c r="E99" s="1238" t="str">
        <f>FHD_NUM_P_61</f>
        <v>7</v>
      </c>
      <c r="F99" s="257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570" t="s">
        <v>630</v>
      </c>
      <c r="H99" s="1671"/>
      <c r="I99" s="1434"/>
      <c r="J99" s="981"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1235"/>
      <c r="L99" s="2328"/>
      <c r="M99" s="2328"/>
      <c r="R99" s="2328"/>
      <c r="U99" s="1236"/>
      <c r="AA99" s="2324"/>
      <c r="AB99" s="2324"/>
      <c r="AC99" s="2324"/>
      <c r="AD99" s="2324"/>
      <c r="AE99" s="2324"/>
      <c r="AF99" s="1852">
        <v>0</v>
      </c>
    </row>
    <row s="61695" customFormat="1" customHeight="1" ht="0.75">
      <c r="A100" s="3063"/>
      <c r="D100" s="1240"/>
      <c r="E100" s="1705" t="str">
        <f>E99&amp;".0"</f>
        <v>7.0</v>
      </c>
      <c r="F100" s="1686"/>
      <c r="G100" s="1687"/>
      <c r="H100" s="1684"/>
      <c r="I100" s="1684"/>
      <c r="J100" s="1688"/>
      <c r="AF100" s="2328">
        <v>0</v>
      </c>
    </row>
    <row customHeight="1" ht="15">
      <c r="A101" s="3063"/>
      <c r="D101" s="2325"/>
      <c r="E101" s="1663"/>
      <c r="F101" s="1664" t="s">
        <v>660</v>
      </c>
      <c r="G101" s="1264"/>
      <c r="H101" s="1265"/>
      <c r="I101" s="1265"/>
      <c r="J101" s="1696" t="s">
        <v>661</v>
      </c>
      <c r="K101" s="1235"/>
      <c r="AF101" s="2323">
        <v>0</v>
      </c>
    </row>
    <row s="62148" customFormat="1" customHeight="1" ht="18.75">
      <c r="A102" s="3063"/>
      <c r="C102" s="2328"/>
      <c r="D102" s="2330"/>
      <c r="E102" s="1238" t="str">
        <f>FHD_NUM_P_62</f>
        <v>8</v>
      </c>
      <c r="F102" s="2572" t="str">
        <f>FHD_P_62</f>
        <v>Тепловая нагрузка по договорам, заключенным в рамках осуществления регулируемых видов деятельности</v>
      </c>
      <c r="G102" s="2569" t="s">
        <v>630</v>
      </c>
      <c r="H102" s="1249"/>
      <c r="I102" s="1249"/>
      <c r="J102" s="981"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1235"/>
      <c r="L102" s="2328"/>
      <c r="M102" s="2328"/>
      <c r="R102" s="2328"/>
      <c r="U102" s="1236"/>
      <c r="AA102" s="2324"/>
      <c r="AB102" s="2324"/>
      <c r="AC102" s="2324"/>
      <c r="AD102" s="2324"/>
      <c r="AE102" s="2324"/>
      <c r="AF102" s="1852">
        <v>0</v>
      </c>
    </row>
    <row s="62148" customFormat="1" customHeight="1" ht="18.75">
      <c r="A103" s="3063"/>
      <c r="C103" s="2328"/>
      <c r="D103" s="2330"/>
      <c r="E103" s="1238" t="str">
        <f>FHD_NUM_P_63</f>
        <v>9</v>
      </c>
      <c r="F103" s="2572" t="str">
        <f>FHD_P_63</f>
        <v>Объем вырабатываемой регулируемой организацией тепловой энергии в рамках осуществления регулируемых видов деятельности</v>
      </c>
      <c r="G103" s="2569" t="s">
        <v>657</v>
      </c>
      <c r="H103" s="1269"/>
      <c r="I103" s="1269"/>
      <c r="J103" s="981"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1235"/>
      <c r="L103" s="2328"/>
      <c r="M103" s="2328"/>
      <c r="R103" s="2328"/>
      <c r="U103" s="1236"/>
      <c r="AA103" s="2324"/>
      <c r="AB103" s="2324"/>
      <c r="AC103" s="2324"/>
      <c r="AD103" s="2324"/>
      <c r="AE103" s="2324"/>
      <c r="AF103" s="1852">
        <v>0</v>
      </c>
    </row>
    <row s="62148" customFormat="1" customHeight="1" ht="18.75">
      <c r="A104" s="3063"/>
      <c r="C104" s="2328" t="s">
        <v>662</v>
      </c>
      <c r="D104" s="2330"/>
      <c r="E104" s="1238" t="str">
        <f>FHD_NUM_P_64</f>
        <v>9.1</v>
      </c>
      <c r="F104" s="2572" t="str">
        <f>FHD_P_64</f>
        <v>Объем приобретаемой регулируемой организацией тепловой энергии в рамках осуществления регулируемых видов деятельности</v>
      </c>
      <c r="G104" s="2569" t="s">
        <v>657</v>
      </c>
      <c r="H104" s="1237"/>
      <c r="I104" s="1237"/>
      <c r="J104" s="981" t="str">
        <f>FHD_NOTE_P_64</f>
        <v>Информация указывается только едиными теплоснабжающими организациями.</v>
      </c>
      <c r="K104" s="1235"/>
      <c r="L104" s="2328"/>
      <c r="M104" s="2328"/>
      <c r="R104" s="2328"/>
      <c r="U104" s="1236"/>
      <c r="AA104" s="2324"/>
      <c r="AB104" s="2324"/>
      <c r="AC104" s="2324"/>
      <c r="AD104" s="2324"/>
      <c r="AE104" s="2324"/>
      <c r="AF104" s="1852">
        <v>0</v>
      </c>
    </row>
    <row s="62148" customFormat="1" customHeight="1" ht="18.75">
      <c r="A105" s="3063"/>
      <c r="C105" s="2328"/>
      <c r="D105" s="2330"/>
      <c r="E105" s="1238" t="str">
        <f>FHD_NUM_P_65</f>
        <v>10</v>
      </c>
      <c r="F105" s="257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569" t="s">
        <v>657</v>
      </c>
      <c r="H105" s="1269"/>
      <c r="I105" s="1269"/>
      <c r="J105" s="981"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1235"/>
      <c r="L105" s="2328"/>
      <c r="M105" s="2328"/>
      <c r="R105" s="2328"/>
      <c r="U105" s="1236"/>
      <c r="AA105" s="2324"/>
      <c r="AB105" s="2324"/>
      <c r="AC105" s="2324"/>
      <c r="AD105" s="2324"/>
      <c r="AE105" s="2324"/>
      <c r="AF105" s="1852">
        <v>0</v>
      </c>
    </row>
    <row s="62148" customFormat="1" customHeight="1" ht="18.75">
      <c r="A106" s="3063"/>
      <c r="C106" s="2328"/>
      <c r="D106" s="2330"/>
      <c r="E106" s="1238" t="str">
        <f>FHD_NUM_P_66</f>
        <v>10.1</v>
      </c>
      <c r="F106" s="2216" t="str">
        <f>FHD_P_66</f>
        <v>По приборам учёта </v>
      </c>
      <c r="G106" s="2569" t="s">
        <v>657</v>
      </c>
      <c r="H106" s="1269"/>
      <c r="I106" s="1269"/>
      <c r="J106" s="981" t="str">
        <f>FHD_NOTE_P_66</f>
        <v/>
      </c>
      <c r="K106" s="1235"/>
      <c r="L106" s="2328"/>
      <c r="M106" s="2328"/>
      <c r="R106" s="2328"/>
      <c r="U106" s="1236"/>
      <c r="AA106" s="2324"/>
      <c r="AB106" s="2324"/>
      <c r="AC106" s="2324"/>
      <c r="AD106" s="2324"/>
      <c r="AE106" s="2324"/>
      <c r="AF106" s="1852">
        <v>0</v>
      </c>
    </row>
    <row s="62148" customFormat="1" customHeight="1" ht="18.75">
      <c r="A107" s="3063"/>
      <c r="C107" s="2328"/>
      <c r="D107" s="2330"/>
      <c r="E107" s="1238" t="str">
        <f>FHD_NUM_P_67</f>
        <v>10.1.1</v>
      </c>
      <c r="F107" s="2342"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569" t="s">
        <v>657</v>
      </c>
      <c r="H107" s="1269"/>
      <c r="I107" s="1269"/>
      <c r="J107" s="981" t="str">
        <f>FHD_NOTE_P_67</f>
        <v/>
      </c>
      <c r="K107" s="1235"/>
      <c r="L107" s="2328"/>
      <c r="M107" s="2328"/>
      <c r="R107" s="2328"/>
      <c r="U107" s="1236"/>
      <c r="AA107" s="2324"/>
      <c r="AB107" s="2324"/>
      <c r="AC107" s="2324"/>
      <c r="AD107" s="2324"/>
      <c r="AE107" s="2324"/>
      <c r="AF107" s="1852">
        <v>0</v>
      </c>
    </row>
    <row s="62148" customFormat="1" customHeight="1" ht="18.75">
      <c r="A108" s="3063"/>
      <c r="C108" s="2328"/>
      <c r="D108" s="2330"/>
      <c r="E108" s="1238" t="str">
        <f>FHD_NUM_P_68</f>
        <v>10.2</v>
      </c>
      <c r="F108" s="2216" t="str">
        <f>FHD_P_68</f>
        <v>Расчётным путём</v>
      </c>
      <c r="G108" s="2569" t="s">
        <v>657</v>
      </c>
      <c r="H108" s="1269"/>
      <c r="I108" s="1269"/>
      <c r="J108" s="981" t="str">
        <f>FHD_NOTE_P_68</f>
        <v/>
      </c>
      <c r="K108" s="1235"/>
      <c r="L108" s="2328"/>
      <c r="M108" s="2328"/>
      <c r="R108" s="2328"/>
      <c r="U108" s="1236"/>
      <c r="AA108" s="2324"/>
      <c r="AB108" s="2324"/>
      <c r="AC108" s="2324"/>
      <c r="AD108" s="2324"/>
      <c r="AE108" s="2324"/>
      <c r="AF108" s="1852">
        <v>0</v>
      </c>
    </row>
    <row s="62148" customFormat="1" customHeight="1" ht="18.75">
      <c r="A109" s="3063"/>
      <c r="C109" s="2328"/>
      <c r="D109" s="2330"/>
      <c r="E109" s="1238" t="str">
        <f>FHD_NUM_P_69</f>
        <v>10.3</v>
      </c>
      <c r="F109" s="2216" t="str">
        <f>FHD_P_69</f>
        <v>По нормативам потребления коммунальных услуг и нормативам потребления коммунальных ресурсов</v>
      </c>
      <c r="G109" s="2569" t="s">
        <v>657</v>
      </c>
      <c r="H109" s="1269"/>
      <c r="I109" s="1269"/>
      <c r="J109" s="981" t="str">
        <f>FHD_NOTE_P_69</f>
        <v/>
      </c>
      <c r="K109" s="1235"/>
      <c r="L109" s="2328"/>
      <c r="M109" s="2328"/>
      <c r="R109" s="2328"/>
      <c r="U109" s="1236"/>
      <c r="AA109" s="2324"/>
      <c r="AB109" s="2324"/>
      <c r="AC109" s="2324"/>
      <c r="AD109" s="2324"/>
      <c r="AE109" s="2324"/>
      <c r="AF109" s="1852">
        <v>0</v>
      </c>
    </row>
    <row s="62148" customFormat="1" customHeight="1" ht="22.5">
      <c r="A110" s="3063"/>
      <c r="C110" s="2328"/>
      <c r="D110" s="2330"/>
      <c r="E110" s="1238" t="str">
        <f>FHD_NUM_P_70</f>
        <v>11</v>
      </c>
      <c r="F110" s="2572" t="str">
        <f>FHD_P_70</f>
        <v>Нормативы технологических потерь при передаче тепловой энергии, теплоносителя по тепловым сетям, утвержденные уполномоченным органом</v>
      </c>
      <c r="G110" s="2569" t="s">
        <v>663</v>
      </c>
      <c r="H110" s="1249"/>
      <c r="I110" s="1249"/>
      <c r="J110" s="981" t="str">
        <f>FHD_NOTE_P_70</f>
        <v/>
      </c>
      <c r="K110" s="1235"/>
      <c r="L110" s="2328"/>
      <c r="M110" s="2328"/>
      <c r="R110" s="2328"/>
      <c r="U110" s="1236"/>
      <c r="AA110" s="2324"/>
      <c r="AB110" s="2324"/>
      <c r="AC110" s="2324"/>
      <c r="AD110" s="2324"/>
      <c r="AE110" s="2324"/>
      <c r="AF110" s="1852">
        <v>0</v>
      </c>
    </row>
    <row s="62148" customFormat="1" customHeight="1" ht="22.5">
      <c r="A111" s="3063"/>
      <c r="C111" s="2328"/>
      <c r="D111" s="2330"/>
      <c r="E111" s="1238" t="str">
        <f>FHD_NUM_P_71</f>
        <v>12</v>
      </c>
      <c r="F111" s="2572" t="str">
        <f>FHD_P_71</f>
        <v>Фактический объем потерь при передаче тепловой энергии</v>
      </c>
      <c r="G111" s="2569" t="s">
        <v>663</v>
      </c>
      <c r="H111" s="1249"/>
      <c r="I111" s="1249"/>
      <c r="J111" s="981" t="str">
        <f>FHD_NOTE_P_71</f>
        <v/>
      </c>
      <c r="K111" s="1235"/>
      <c r="L111" s="2328"/>
      <c r="M111" s="2328"/>
      <c r="R111" s="2328"/>
      <c r="U111" s="1236"/>
      <c r="AA111" s="2324"/>
      <c r="AB111" s="2324"/>
      <c r="AC111" s="2324"/>
      <c r="AD111" s="2324"/>
      <c r="AE111" s="2324"/>
      <c r="AF111" s="1852">
        <v>0</v>
      </c>
    </row>
    <row customHeight="1" ht="19.95">
      <c r="D112" s="2330"/>
      <c r="E112" s="1238" t="str">
        <f>FHD_NUM_P_72</f>
        <v>13</v>
      </c>
      <c r="F112" s="2572" t="str">
        <f>FHD_P_72</f>
        <v>Среднесписочная численность основного производственного персонала</v>
      </c>
      <c r="G112" s="2568" t="s">
        <v>664</v>
      </c>
      <c r="H112" s="1269"/>
      <c r="I112" s="1269"/>
      <c r="J112" s="981" t="str">
        <f>FHD_NOTE_P_72</f>
        <v/>
      </c>
      <c r="K112" s="1235"/>
      <c r="AF112" s="2323">
        <v>19</v>
      </c>
    </row>
    <row customHeight="1" ht="18.75">
      <c r="A113" s="1681" t="s">
        <v>665</v>
      </c>
      <c r="D113" s="2330"/>
      <c r="E113" s="1238" t="str">
        <f>FHD_NUM_P_73</f>
        <v>14</v>
      </c>
      <c r="F113" s="2572" t="str">
        <f>FHD_P_73</f>
        <v>Среднесписочная численность административно-управленческого персонала</v>
      </c>
      <c r="G113" s="1662" t="s">
        <v>664</v>
      </c>
      <c r="H113" s="1660"/>
      <c r="I113" s="1660"/>
      <c r="J113" s="981" t="str">
        <f>FHD_NOTE_P_73</f>
        <v/>
      </c>
      <c r="K113" s="1235"/>
      <c r="AF113" s="2323">
        <v>0</v>
      </c>
    </row>
    <row customHeight="1" ht="33.75" hidden="1">
      <c r="A114" s="1681" t="s">
        <v>666</v>
      </c>
      <c r="D114" s="2330"/>
      <c r="E114" s="1238" t="str">
        <f>FHD_NUM_P_74</f>
        <v/>
      </c>
      <c r="F114" s="2572" t="str">
        <f>FHD_P_74</f>
        <v/>
      </c>
      <c r="G114" s="2568" t="s">
        <v>667</v>
      </c>
      <c r="H114" s="1269"/>
      <c r="I114" s="1269"/>
      <c r="J114" s="981" t="str">
        <f>FHD_NOTE_P_74</f>
        <v/>
      </c>
      <c r="K114" s="1235"/>
      <c r="AF114" s="2323">
        <v>0</v>
      </c>
    </row>
    <row s="62286" customFormat="1" customHeight="1" ht="18.75" hidden="1">
      <c r="A115" s="3065" t="s">
        <v>668</v>
      </c>
      <c r="B115" s="1602"/>
      <c r="C115" s="1427"/>
      <c r="D115" s="1425"/>
      <c r="E115" s="1238" t="str">
        <f>FHD_NUM_P_75</f>
        <v/>
      </c>
      <c r="F115" s="2572" t="str">
        <f>FHD_P_75</f>
        <v/>
      </c>
      <c r="G115" s="2568" t="s">
        <v>632</v>
      </c>
      <c r="H115" s="1249"/>
      <c r="I115" s="1249"/>
      <c r="J115" s="981" t="str">
        <f>FHD_NOTE_P_75</f>
        <v/>
      </c>
      <c r="K115" s="1426"/>
      <c r="L115" s="1427"/>
      <c r="M115" s="1427"/>
      <c r="N115" s="1602"/>
      <c r="O115" s="1602"/>
      <c r="P115" s="1602"/>
      <c r="Q115" s="1602"/>
      <c r="R115" s="1427"/>
      <c r="S115" s="1602"/>
      <c r="T115" s="1602"/>
      <c r="U115" s="1428"/>
      <c r="V115" s="1602"/>
      <c r="W115" s="1602"/>
      <c r="X115" s="1602"/>
      <c r="Y115" s="1602"/>
      <c r="Z115" s="1602"/>
      <c r="AA115" s="1429"/>
      <c r="AB115" s="1429"/>
      <c r="AC115" s="1429"/>
      <c r="AD115" s="1429"/>
      <c r="AE115" s="1429"/>
      <c r="AF115" s="1431">
        <v>0</v>
      </c>
    </row>
    <row s="62286" customFormat="1" customHeight="1" ht="18.75" hidden="1">
      <c r="A116" s="3065"/>
      <c r="B116" s="1602"/>
      <c r="C116" s="1427"/>
      <c r="D116" s="1425"/>
      <c r="E116" s="1238" t="str">
        <f>FHD_NUM_P_76</f>
        <v/>
      </c>
      <c r="F116" s="2572" t="str">
        <f>FHD_P_76</f>
        <v/>
      </c>
      <c r="G116" s="2568" t="s">
        <v>632</v>
      </c>
      <c r="H116" s="1249"/>
      <c r="I116" s="1249"/>
      <c r="J116" s="981" t="str">
        <f>FHD_NOTE_P_76</f>
        <v/>
      </c>
      <c r="K116" s="1426"/>
      <c r="L116" s="1427"/>
      <c r="M116" s="1427"/>
      <c r="N116" s="1602"/>
      <c r="O116" s="1602"/>
      <c r="P116" s="1602"/>
      <c r="Q116" s="1602"/>
      <c r="R116" s="1427"/>
      <c r="S116" s="1602"/>
      <c r="T116" s="1602"/>
      <c r="U116" s="1428"/>
      <c r="V116" s="1602"/>
      <c r="W116" s="1602"/>
      <c r="X116" s="1602"/>
      <c r="Y116" s="1602"/>
      <c r="Z116" s="1602"/>
      <c r="AA116" s="1429"/>
      <c r="AB116" s="1429"/>
      <c r="AC116" s="1429"/>
      <c r="AD116" s="1429"/>
      <c r="AE116" s="1429"/>
      <c r="AF116" s="1431">
        <v>0</v>
      </c>
    </row>
    <row s="62286" customFormat="1" customHeight="1" ht="18.75" hidden="1">
      <c r="A117" s="3065"/>
      <c r="B117" s="1602"/>
      <c r="C117" s="1427"/>
      <c r="D117" s="1425"/>
      <c r="E117" s="1238" t="str">
        <f>FHD_NUM_P_77</f>
        <v/>
      </c>
      <c r="F117" s="2572" t="str">
        <f>FHD_P_77</f>
        <v/>
      </c>
      <c r="G117" s="2568" t="s">
        <v>632</v>
      </c>
      <c r="H117" s="1249"/>
      <c r="I117" s="1249"/>
      <c r="J117" s="981" t="str">
        <f>FHD_NOTE_P_77</f>
        <v/>
      </c>
      <c r="K117" s="1426"/>
      <c r="L117" s="1427"/>
      <c r="M117" s="1427"/>
      <c r="N117" s="1602"/>
      <c r="O117" s="1602"/>
      <c r="P117" s="1602"/>
      <c r="Q117" s="1602"/>
      <c r="R117" s="1427"/>
      <c r="S117" s="1602"/>
      <c r="T117" s="1602"/>
      <c r="U117" s="1428"/>
      <c r="V117" s="1602"/>
      <c r="W117" s="1602"/>
      <c r="X117" s="1602"/>
      <c r="Y117" s="1602"/>
      <c r="Z117" s="1602"/>
      <c r="AA117" s="1429"/>
      <c r="AB117" s="1429"/>
      <c r="AC117" s="1429"/>
      <c r="AD117" s="1429"/>
      <c r="AE117" s="1429"/>
      <c r="AF117" s="1431">
        <v>0</v>
      </c>
    </row>
    <row s="61695" customFormat="1" customHeight="1" ht="0.75" hidden="1">
      <c r="A118" s="3065"/>
      <c r="D118" s="1240"/>
      <c r="E118" s="1705" t="str">
        <f>E117&amp;".0"</f>
        <v>.0</v>
      </c>
      <c r="F118" s="1689"/>
      <c r="G118" s="2343"/>
      <c r="H118" s="1684"/>
      <c r="I118" s="1684"/>
      <c r="J118" s="1688"/>
      <c r="AF118" s="2328">
        <v>0</v>
      </c>
    </row>
    <row s="62286" customFormat="1" customHeight="1" ht="15" hidden="1">
      <c r="A119" s="3065"/>
      <c r="B119" s="1602"/>
      <c r="C119" s="1427"/>
      <c r="D119" s="1438"/>
      <c r="E119" s="1665"/>
      <c r="F119" s="1666" t="s">
        <v>669</v>
      </c>
      <c r="G119" s="1439"/>
      <c r="H119" s="1440"/>
      <c r="I119" s="1440"/>
      <c r="J119" s="1695" t="s">
        <v>670</v>
      </c>
      <c r="K119" s="1426"/>
      <c r="L119" s="1427"/>
      <c r="M119" s="1427"/>
      <c r="N119" s="1602"/>
      <c r="O119" s="1602"/>
      <c r="P119" s="1602"/>
      <c r="Q119" s="1602"/>
      <c r="R119" s="1427"/>
      <c r="S119" s="1602"/>
      <c r="T119" s="1602"/>
      <c r="U119" s="1428"/>
      <c r="V119" s="1602"/>
      <c r="W119" s="1602"/>
      <c r="X119" s="1602"/>
      <c r="Y119" s="1602"/>
      <c r="Z119" s="1602"/>
      <c r="AA119" s="1429"/>
      <c r="AB119" s="1429"/>
      <c r="AC119" s="1429"/>
      <c r="AD119" s="1429"/>
      <c r="AE119" s="1429"/>
      <c r="AF119" s="1431">
        <v>0</v>
      </c>
    </row>
    <row customHeight="1" ht="22.5">
      <c r="A120" s="3063" t="s">
        <v>671</v>
      </c>
      <c r="D120" s="2330"/>
      <c r="E120" s="1238" t="str">
        <f>FHD_NUM_P_78</f>
        <v>15</v>
      </c>
      <c r="F120" s="257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569" t="s">
        <v>634</v>
      </c>
      <c r="H120" s="1269"/>
      <c r="I120" s="1269"/>
      <c r="J120" s="981" t="str">
        <f>FHD_NOTE_P_78</f>
        <v/>
      </c>
      <c r="K120" s="1235"/>
      <c r="AF120" s="2323">
        <v>0</v>
      </c>
    </row>
    <row s="61695" customFormat="1" customHeight="1" ht="0.75">
      <c r="A121" s="3063"/>
      <c r="D121" s="1240"/>
      <c r="E121" s="1705" t="str">
        <f>E120&amp;".0"</f>
        <v>15.0</v>
      </c>
      <c r="F121" s="1689"/>
      <c r="G121" s="2343"/>
      <c r="H121" s="1684"/>
      <c r="I121" s="1684"/>
      <c r="J121" s="1688"/>
      <c r="AF121" s="2328">
        <v>0</v>
      </c>
    </row>
    <row customHeight="1" ht="15">
      <c r="A122" s="3063"/>
      <c r="D122" s="2325"/>
      <c r="E122" s="1262"/>
      <c r="F122" s="1860" t="s">
        <v>660</v>
      </c>
      <c r="G122" s="1264"/>
      <c r="H122" s="1265"/>
      <c r="I122" s="1265"/>
      <c r="J122" s="1696" t="s">
        <v>672</v>
      </c>
      <c r="K122" s="1235"/>
      <c r="AF122" s="2323">
        <v>0</v>
      </c>
    </row>
    <row customHeight="1" ht="22.5">
      <c r="A123" s="3063"/>
      <c r="D123" s="2330"/>
      <c r="E123" s="1238" t="str">
        <f>FHD_NUM_P_79</f>
        <v>16</v>
      </c>
      <c r="F123" s="257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570" t="s">
        <v>636</v>
      </c>
      <c r="H123" s="1269"/>
      <c r="I123" s="1269"/>
      <c r="J123" s="981"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1235"/>
      <c r="AF123" s="2323">
        <v>0</v>
      </c>
    </row>
    <row s="61695" customFormat="1" customHeight="1" ht="0.75">
      <c r="A124" s="3063"/>
      <c r="D124" s="1240"/>
      <c r="E124" s="1705" t="str">
        <f>E123&amp;".0"</f>
        <v>16.0</v>
      </c>
      <c r="F124" s="1690"/>
      <c r="G124" s="2343"/>
      <c r="H124" s="1684"/>
      <c r="I124" s="1684"/>
      <c r="J124" s="1688"/>
      <c r="AF124" s="2328">
        <v>0</v>
      </c>
    </row>
    <row customHeight="1" ht="15">
      <c r="A125" s="3063"/>
      <c r="D125" s="2325"/>
      <c r="E125" s="1262"/>
      <c r="F125" s="1860" t="s">
        <v>660</v>
      </c>
      <c r="G125" s="1264"/>
      <c r="H125" s="1265"/>
      <c r="I125" s="1265"/>
      <c r="J125" s="1696" t="s">
        <v>673</v>
      </c>
      <c r="K125" s="1235"/>
      <c r="AF125" s="2323">
        <v>0</v>
      </c>
    </row>
    <row customHeight="1" ht="22.5">
      <c r="A126" s="3063"/>
      <c r="D126" s="2330"/>
      <c r="E126" s="1238" t="str">
        <f>FHD_NUM_P_80</f>
        <v>17</v>
      </c>
      <c r="F126" s="257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570" t="s">
        <v>674</v>
      </c>
      <c r="H126" s="1249"/>
      <c r="I126" s="1249"/>
      <c r="J126" s="981" t="str">
        <f>FHD_NOTE_P_80</f>
        <v>Регулируемыми организациями указывается информация с по договорам, заключенным в рамках осуществления регулируемой деятельности.</v>
      </c>
      <c r="K126" s="1235"/>
      <c r="AF126" s="2323">
        <v>0</v>
      </c>
    </row>
    <row customHeight="1" ht="18.75">
      <c r="A127" s="3063"/>
      <c r="D127" s="2330"/>
      <c r="E127" s="1238" t="str">
        <f>FHD_NUM_P_81</f>
        <v>18</v>
      </c>
      <c r="F127" s="257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570" t="s">
        <v>675</v>
      </c>
      <c r="H127" s="1249"/>
      <c r="I127" s="1249"/>
      <c r="J127" s="981" t="str">
        <f>FHD_NOTE_P_81</f>
        <v>Регулируемыми организациями указывается информация с по договорам, заключенным в рамках осуществления регулируемой деятельности.</v>
      </c>
      <c r="K127" s="1235"/>
      <c r="AF127" s="2323">
        <v>0</v>
      </c>
    </row>
    <row customHeight="1" ht="18.75">
      <c r="A128" s="3063"/>
      <c r="C128" s="2328" t="s">
        <v>662</v>
      </c>
      <c r="D128" s="2330"/>
      <c r="E128" s="1238" t="str">
        <f>FHD_NUM_P_82</f>
        <v>19</v>
      </c>
      <c r="F128" s="257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570" t="s">
        <v>381</v>
      </c>
      <c r="H128" s="1093"/>
      <c r="I128" s="1093"/>
      <c r="J128" s="981" t="str">
        <f>FHD_NOTE_P_82</f>
        <v>Указывается ссылка на документ, предварительно загруженный в хранилище файлов ФГИС ЕИАС.</v>
      </c>
      <c r="K128" s="1235"/>
      <c r="AF128" s="2323">
        <v>0</v>
      </c>
    </row>
    <row customHeight="1" ht="18.75">
      <c r="A129" s="3063"/>
      <c r="C129" s="2328" t="s">
        <v>662</v>
      </c>
      <c r="D129" s="2330"/>
      <c r="E129" s="1238" t="str">
        <f>FHD_NUM_P_83</f>
        <v>19.1</v>
      </c>
      <c r="F129" s="2216" t="str">
        <f>FHD_P_83</f>
        <v>Информация о показателях физического износа объектов теплоснабжения</v>
      </c>
      <c r="G129" s="2570" t="s">
        <v>381</v>
      </c>
      <c r="H129" s="1093"/>
      <c r="I129" s="1093"/>
      <c r="J129" s="981" t="str">
        <f>FHD_NOTE_P_83</f>
        <v>Указывается ссылка на документ, предварительно загруженный в хранилище файлов ФГИС ЕИАС.</v>
      </c>
      <c r="K129" s="1235"/>
      <c r="AF129" s="2323">
        <v>0</v>
      </c>
    </row>
    <row customHeight="1" ht="18.75">
      <c r="A130" s="3063"/>
      <c r="C130" s="2328" t="s">
        <v>662</v>
      </c>
      <c r="D130" s="2330"/>
      <c r="E130" s="1238" t="str">
        <f>FHD_NUM_P_84</f>
        <v>19.2</v>
      </c>
      <c r="F130" s="2216" t="str">
        <f>FHD_P_84</f>
        <v>Информация о показателях энергетической эффективности объектов теплоснабжения</v>
      </c>
      <c r="G130" s="2570" t="s">
        <v>381</v>
      </c>
      <c r="H130" s="1093"/>
      <c r="I130" s="1093"/>
      <c r="J130" s="981" t="str">
        <f>FHD_NOTE_P_84</f>
        <v>Указывается ссылка на документ, предварительно загруженный в хранилище файлов ФГИС ЕИАС.</v>
      </c>
      <c r="K130" s="1235"/>
      <c r="AF130" s="2323">
        <v>0</v>
      </c>
    </row>
    <row customHeight="1" ht="11.549999999999999">
      <c r="D131" s="2330"/>
      <c r="AF131" s="2323">
        <v>11</v>
      </c>
    </row>
    <row customHeight="1" ht="13.5">
      <c r="D132" s="2330"/>
      <c r="E132" s="1028"/>
      <c r="F132" s="1061"/>
      <c r="G132" s="1061"/>
      <c r="H132" s="1061"/>
      <c r="I132" s="2339"/>
      <c r="J132" s="1273"/>
      <c r="AF132" s="2323">
        <v>13</v>
      </c>
    </row>
    <row s="61193" customFormat="1" customHeight="1" ht="11.549999999999999">
      <c r="A133" s="1679"/>
      <c r="B133" s="2328"/>
      <c r="C133" s="2328"/>
      <c r="D133" s="1043"/>
      <c r="F133" s="2332"/>
      <c r="G133" s="2323"/>
      <c r="H133" s="2323"/>
      <c r="I133" s="2323"/>
      <c r="K133" s="1852"/>
      <c r="L133" s="2328"/>
      <c r="M133" s="2328"/>
      <c r="N133" s="1852"/>
      <c r="O133" s="1852"/>
      <c r="P133" s="1852"/>
      <c r="Q133" s="1852"/>
      <c r="R133" s="2328"/>
      <c r="S133" s="1852"/>
      <c r="T133" s="1852"/>
      <c r="U133" s="1236"/>
      <c r="V133" s="1852"/>
      <c r="W133" s="1852"/>
      <c r="X133" s="1852"/>
      <c r="Y133" s="1852"/>
      <c r="Z133" s="1852"/>
      <c r="AA133" s="2324"/>
      <c r="AB133" s="1258"/>
      <c r="AC133" s="1258"/>
      <c r="AD133" s="1258"/>
      <c r="AE133" s="1258"/>
      <c r="AF133" s="2333">
        <v>11</v>
      </c>
    </row>
    <row s="61193" customFormat="1" customHeight="1" ht="11.549999999999999">
      <c r="A134" s="1679"/>
      <c r="B134" s="2328"/>
      <c r="C134" s="2328"/>
      <c r="D134" s="1043"/>
      <c r="K134" s="1852"/>
      <c r="L134" s="2328"/>
      <c r="M134" s="2328"/>
      <c r="N134" s="1852"/>
      <c r="O134" s="1852"/>
      <c r="P134" s="1852"/>
      <c r="Q134" s="1852"/>
      <c r="R134" s="2328"/>
      <c r="S134" s="1852"/>
      <c r="T134" s="1852"/>
      <c r="U134" s="1236"/>
      <c r="V134" s="1852"/>
      <c r="W134" s="1852"/>
      <c r="X134" s="1852"/>
      <c r="Y134" s="1852"/>
      <c r="Z134" s="1852"/>
      <c r="AA134" s="2324"/>
      <c r="AB134" s="1258"/>
      <c r="AC134" s="1258"/>
      <c r="AD134" s="1258"/>
      <c r="AE134" s="1258"/>
      <c r="AF134" s="2333">
        <v>11</v>
      </c>
    </row>
    <row s="61193" customFormat="1" customHeight="1" ht="11.549999999999999">
      <c r="A135" s="1679"/>
      <c r="B135" s="2328"/>
      <c r="C135" s="2328"/>
      <c r="D135" s="1043"/>
      <c r="K135" s="1852"/>
      <c r="L135" s="2328"/>
      <c r="M135" s="2328"/>
      <c r="N135" s="1852"/>
      <c r="O135" s="1852"/>
      <c r="P135" s="1852"/>
      <c r="Q135" s="1852"/>
      <c r="R135" s="2328"/>
      <c r="S135" s="1852"/>
      <c r="T135" s="1852"/>
      <c r="U135" s="1236"/>
      <c r="V135" s="1852"/>
      <c r="W135" s="1852"/>
      <c r="X135" s="1852"/>
      <c r="Y135" s="1852"/>
      <c r="Z135" s="1852"/>
      <c r="AA135" s="2324"/>
      <c r="AB135" s="1258"/>
      <c r="AC135" s="1258"/>
      <c r="AD135" s="1258"/>
      <c r="AE135" s="1258"/>
      <c r="AF135" s="2333">
        <v>11</v>
      </c>
    </row>
    <row s="61193" customFormat="1" customHeight="1" ht="11.549999999999999">
      <c r="A136" s="1679"/>
      <c r="B136" s="2328"/>
      <c r="C136" s="2328"/>
      <c r="D136" s="1043"/>
      <c r="H136" s="1258" t="str">
        <f>IF(H30-H31&lt;&gt;H72,"WARNING","")</f>
        <v/>
      </c>
      <c r="I136" s="1258" t="str">
        <f>IF(I30-I31&lt;&gt;I72,"WARNING","")</f>
        <v/>
      </c>
      <c r="K136" s="1852"/>
      <c r="L136" s="2328"/>
      <c r="M136" s="2328"/>
      <c r="N136" s="1852"/>
      <c r="O136" s="1852"/>
      <c r="P136" s="1852"/>
      <c r="Q136" s="1852"/>
      <c r="R136" s="2328"/>
      <c r="S136" s="1852"/>
      <c r="T136" s="1852"/>
      <c r="U136" s="1236"/>
      <c r="V136" s="1852"/>
      <c r="W136" s="1852"/>
      <c r="X136" s="1852"/>
      <c r="Y136" s="1852"/>
      <c r="Z136" s="1852"/>
      <c r="AA136" s="2324"/>
      <c r="AB136" s="1258"/>
      <c r="AC136" s="1258"/>
      <c r="AD136" s="1258"/>
      <c r="AE136" s="1258"/>
      <c r="AF136" s="2333">
        <v>11</v>
      </c>
    </row>
    <row s="61193" customFormat="1" customHeight="1" ht="11.549999999999999">
      <c r="A137" s="1679"/>
      <c r="B137" s="2328"/>
      <c r="C137" s="2328"/>
      <c r="D137" s="1043"/>
      <c r="K137" s="1852"/>
      <c r="L137" s="2328"/>
      <c r="M137" s="2328"/>
      <c r="N137" s="1852"/>
      <c r="O137" s="1852"/>
      <c r="P137" s="1852"/>
      <c r="Q137" s="1852"/>
      <c r="R137" s="2328"/>
      <c r="S137" s="1852"/>
      <c r="T137" s="1852"/>
      <c r="U137" s="1236"/>
      <c r="V137" s="1852"/>
      <c r="W137" s="1852"/>
      <c r="X137" s="1852"/>
      <c r="Y137" s="1852"/>
      <c r="Z137" s="1852"/>
      <c r="AA137" s="2324"/>
      <c r="AB137" s="1258"/>
      <c r="AC137" s="1258"/>
      <c r="AD137" s="1258"/>
      <c r="AE137" s="1258"/>
      <c r="AF137" s="2333">
        <v>11</v>
      </c>
    </row>
    <row s="61193" customFormat="1" customHeight="1" ht="11.549999999999999">
      <c r="A138" s="1679"/>
      <c r="B138" s="2328"/>
      <c r="C138" s="2328"/>
      <c r="D138" s="1043"/>
      <c r="K138" s="1852"/>
      <c r="L138" s="2328"/>
      <c r="M138" s="2328"/>
      <c r="N138" s="1852"/>
      <c r="O138" s="1852"/>
      <c r="P138" s="1852"/>
      <c r="Q138" s="1852"/>
      <c r="R138" s="2328"/>
      <c r="S138" s="1852"/>
      <c r="T138" s="1852"/>
      <c r="U138" s="1236"/>
      <c r="V138" s="1852"/>
      <c r="W138" s="1852"/>
      <c r="X138" s="1852"/>
      <c r="Y138" s="1852"/>
      <c r="Z138" s="1852"/>
      <c r="AA138" s="2324"/>
      <c r="AB138" s="1258"/>
      <c r="AC138" s="1258"/>
      <c r="AD138" s="1258"/>
      <c r="AE138" s="1258"/>
      <c r="AF138" s="2333">
        <v>11</v>
      </c>
    </row>
    <row s="61193" customFormat="1" customHeight="1" ht="11.549999999999999">
      <c r="A139" s="1679"/>
      <c r="B139" s="2328"/>
      <c r="C139" s="2328"/>
      <c r="D139" s="1043"/>
      <c r="K139" s="1852"/>
      <c r="L139" s="2328"/>
      <c r="M139" s="2328"/>
      <c r="N139" s="1852"/>
      <c r="O139" s="1852"/>
      <c r="P139" s="1852"/>
      <c r="Q139" s="1852"/>
      <c r="R139" s="2328"/>
      <c r="S139" s="1852"/>
      <c r="T139" s="1852"/>
      <c r="U139" s="1236"/>
      <c r="V139" s="1852"/>
      <c r="W139" s="1852"/>
      <c r="X139" s="1852"/>
      <c r="Y139" s="1852"/>
      <c r="Z139" s="1852"/>
      <c r="AA139" s="2324"/>
      <c r="AB139" s="1258"/>
      <c r="AC139" s="1258"/>
      <c r="AD139" s="1258"/>
      <c r="AE139" s="1258"/>
      <c r="AF139" s="2333">
        <v>11</v>
      </c>
    </row>
    <row s="61193" customFormat="1" customHeight="1" ht="11.549999999999999">
      <c r="A140" s="1679"/>
      <c r="B140" s="2328"/>
      <c r="C140" s="2328"/>
      <c r="D140" s="1043"/>
      <c r="K140" s="1852"/>
      <c r="L140" s="2328"/>
      <c r="M140" s="2328"/>
      <c r="N140" s="1852"/>
      <c r="O140" s="1852"/>
      <c r="P140" s="1852"/>
      <c r="Q140" s="1852"/>
      <c r="R140" s="2328"/>
      <c r="S140" s="1852"/>
      <c r="T140" s="1852"/>
      <c r="U140" s="1236"/>
      <c r="V140" s="1852"/>
      <c r="W140" s="1852"/>
      <c r="X140" s="1852"/>
      <c r="Y140" s="1852"/>
      <c r="Z140" s="1852"/>
      <c r="AA140" s="2324"/>
      <c r="AB140" s="1258"/>
      <c r="AC140" s="1258"/>
      <c r="AD140" s="1258"/>
      <c r="AE140" s="1258"/>
      <c r="AF140" s="2333">
        <v>11</v>
      </c>
    </row>
    <row s="61193" customFormat="1" customHeight="1" ht="11.549999999999999">
      <c r="A141" s="1679"/>
      <c r="B141" s="2328"/>
      <c r="C141" s="2328"/>
      <c r="D141" s="1043"/>
      <c r="K141" s="1852"/>
      <c r="L141" s="2328"/>
      <c r="M141" s="2328"/>
      <c r="N141" s="1852"/>
      <c r="O141" s="1852"/>
      <c r="P141" s="1852"/>
      <c r="Q141" s="1852"/>
      <c r="R141" s="2328"/>
      <c r="S141" s="1852"/>
      <c r="T141" s="1852"/>
      <c r="U141" s="1236"/>
      <c r="V141" s="1852"/>
      <c r="W141" s="1852"/>
      <c r="X141" s="1852"/>
      <c r="Y141" s="1852"/>
      <c r="Z141" s="1852"/>
      <c r="AA141" s="2324"/>
      <c r="AB141" s="1258"/>
      <c r="AC141" s="1258"/>
      <c r="AD141" s="1258"/>
      <c r="AE141" s="1258"/>
      <c r="AF141" s="2333">
        <v>11</v>
      </c>
    </row>
    <row s="61193" customFormat="1" customHeight="1" ht="11.549999999999999">
      <c r="A142" s="1679"/>
      <c r="B142" s="2328"/>
      <c r="C142" s="2328"/>
      <c r="D142" s="1043"/>
      <c r="K142" s="1852"/>
      <c r="L142" s="2328"/>
      <c r="M142" s="2328"/>
      <c r="N142" s="1852"/>
      <c r="O142" s="1852"/>
      <c r="P142" s="1852"/>
      <c r="Q142" s="1852"/>
      <c r="R142" s="2328"/>
      <c r="S142" s="1852"/>
      <c r="T142" s="1852"/>
      <c r="U142" s="1236"/>
      <c r="V142" s="1852"/>
      <c r="W142" s="1852"/>
      <c r="X142" s="1852"/>
      <c r="Y142" s="1852"/>
      <c r="Z142" s="1852"/>
      <c r="AA142" s="2324"/>
      <c r="AB142" s="1258"/>
      <c r="AC142" s="1258"/>
      <c r="AD142" s="1258"/>
      <c r="AE142" s="1258"/>
      <c r="AF142" s="2333">
        <v>11</v>
      </c>
    </row>
    <row s="61193" customFormat="1" customHeight="1" ht="11.549999999999999">
      <c r="A143" s="1679"/>
      <c r="B143" s="2328"/>
      <c r="C143" s="2328"/>
      <c r="D143" s="1043"/>
      <c r="K143" s="1852"/>
      <c r="L143" s="2328"/>
      <c r="M143" s="2328"/>
      <c r="N143" s="1852"/>
      <c r="O143" s="1852"/>
      <c r="P143" s="1852"/>
      <c r="Q143" s="1852"/>
      <c r="R143" s="2328"/>
      <c r="S143" s="1852"/>
      <c r="T143" s="1852"/>
      <c r="U143" s="1236"/>
      <c r="V143" s="1852"/>
      <c r="W143" s="1852"/>
      <c r="X143" s="1852"/>
      <c r="Y143" s="1852"/>
      <c r="Z143" s="1852"/>
      <c r="AA143" s="2324"/>
      <c r="AB143" s="1258"/>
      <c r="AC143" s="1258"/>
      <c r="AD143" s="1258"/>
      <c r="AE143" s="1258"/>
      <c r="AF143" s="2333">
        <v>11</v>
      </c>
    </row>
    <row s="61193" customFormat="1" customHeight="1" ht="11.549999999999999">
      <c r="A144" s="1679"/>
      <c r="B144" s="2328"/>
      <c r="C144" s="2328"/>
      <c r="D144" s="1043"/>
      <c r="K144" s="1852"/>
      <c r="L144" s="2328"/>
      <c r="M144" s="2328"/>
      <c r="N144" s="1852"/>
      <c r="O144" s="1852"/>
      <c r="P144" s="1852"/>
      <c r="Q144" s="1852"/>
      <c r="R144" s="2328"/>
      <c r="S144" s="1852"/>
      <c r="T144" s="1852"/>
      <c r="U144" s="1236"/>
      <c r="V144" s="1852"/>
      <c r="W144" s="1852"/>
      <c r="X144" s="1852"/>
      <c r="Y144" s="1852"/>
      <c r="Z144" s="1852"/>
      <c r="AA144" s="2324"/>
      <c r="AB144" s="1258"/>
      <c r="AC144" s="1258"/>
      <c r="AD144" s="1258"/>
      <c r="AE144" s="1258"/>
      <c r="AF144" s="2333">
        <v>11</v>
      </c>
    </row>
    <row s="61193" customFormat="1" customHeight="1" ht="11.549999999999999">
      <c r="A145" s="1679"/>
      <c r="B145" s="2328"/>
      <c r="C145" s="2328"/>
      <c r="D145" s="1043"/>
      <c r="K145" s="1852"/>
      <c r="L145" s="2328"/>
      <c r="M145" s="2328"/>
      <c r="N145" s="1852"/>
      <c r="O145" s="1852"/>
      <c r="P145" s="1852"/>
      <c r="Q145" s="1852"/>
      <c r="R145" s="2328"/>
      <c r="S145" s="1852"/>
      <c r="T145" s="1852"/>
      <c r="U145" s="1236"/>
      <c r="V145" s="1852"/>
      <c r="W145" s="1852"/>
      <c r="X145" s="1852"/>
      <c r="Y145" s="1852"/>
      <c r="Z145" s="1852"/>
      <c r="AA145" s="2324"/>
      <c r="AB145" s="1258"/>
      <c r="AC145" s="1258"/>
      <c r="AD145" s="1258"/>
      <c r="AE145" s="1258"/>
      <c r="AF145" s="2333">
        <v>11</v>
      </c>
    </row>
    <row s="61193" customFormat="1" customHeight="1" ht="11.549999999999999">
      <c r="A146" s="1679"/>
      <c r="B146" s="2328"/>
      <c r="C146" s="2328"/>
      <c r="D146" s="1043"/>
      <c r="K146" s="1852"/>
      <c r="L146" s="2328"/>
      <c r="M146" s="2328"/>
      <c r="N146" s="1852"/>
      <c r="O146" s="1852"/>
      <c r="P146" s="1852"/>
      <c r="Q146" s="1852"/>
      <c r="R146" s="2328"/>
      <c r="S146" s="1852"/>
      <c r="T146" s="1852"/>
      <c r="U146" s="1236"/>
      <c r="V146" s="1852"/>
      <c r="W146" s="1852"/>
      <c r="X146" s="1852"/>
      <c r="Y146" s="1852"/>
      <c r="Z146" s="1852"/>
      <c r="AA146" s="2324"/>
      <c r="AB146" s="1258"/>
      <c r="AC146" s="1258"/>
      <c r="AD146" s="1258"/>
      <c r="AE146" s="1258"/>
      <c r="AF146" s="2333">
        <v>11</v>
      </c>
    </row>
    <row s="61193" customFormat="1" customHeight="1" ht="11.549999999999999">
      <c r="A147" s="1679"/>
      <c r="B147" s="2328"/>
      <c r="C147" s="2328"/>
      <c r="D147" s="1043"/>
      <c r="K147" s="1852"/>
      <c r="L147" s="2328"/>
      <c r="M147" s="2328"/>
      <c r="N147" s="1852"/>
      <c r="O147" s="1852"/>
      <c r="P147" s="1852"/>
      <c r="Q147" s="1852"/>
      <c r="R147" s="2328"/>
      <c r="S147" s="1852"/>
      <c r="T147" s="1852"/>
      <c r="U147" s="1236"/>
      <c r="V147" s="1852"/>
      <c r="W147" s="1852"/>
      <c r="X147" s="1852"/>
      <c r="Y147" s="1852"/>
      <c r="Z147" s="1852"/>
      <c r="AA147" s="2324"/>
      <c r="AB147" s="1258"/>
      <c r="AC147" s="1258"/>
      <c r="AD147" s="1258"/>
      <c r="AE147" s="1258"/>
      <c r="AF147" s="2333">
        <v>11</v>
      </c>
    </row>
    <row s="61193" customFormat="1" customHeight="1" ht="11.549999999999999">
      <c r="A148" s="1679"/>
      <c r="B148" s="2328"/>
      <c r="C148" s="2328"/>
      <c r="D148" s="1043"/>
      <c r="K148" s="1852"/>
      <c r="L148" s="2328"/>
      <c r="M148" s="2328"/>
      <c r="N148" s="1852"/>
      <c r="O148" s="1852"/>
      <c r="P148" s="1852"/>
      <c r="Q148" s="1852"/>
      <c r="R148" s="2328"/>
      <c r="S148" s="1852"/>
      <c r="T148" s="1852"/>
      <c r="U148" s="1236"/>
      <c r="V148" s="1852"/>
      <c r="W148" s="1852"/>
      <c r="X148" s="1852"/>
      <c r="Y148" s="1852"/>
      <c r="Z148" s="1852"/>
      <c r="AA148" s="2324"/>
      <c r="AB148" s="1258"/>
      <c r="AC148" s="1258"/>
      <c r="AD148" s="1258"/>
      <c r="AE148" s="1258"/>
      <c r="AF148" s="2333">
        <v>11</v>
      </c>
    </row>
    <row s="61193" customFormat="1" customHeight="1" ht="11.549999999999999">
      <c r="A149" s="1679"/>
      <c r="B149" s="2328"/>
      <c r="C149" s="2328"/>
      <c r="D149" s="1043"/>
      <c r="K149" s="1852"/>
      <c r="L149" s="2328"/>
      <c r="M149" s="2328"/>
      <c r="N149" s="1852"/>
      <c r="O149" s="1852"/>
      <c r="P149" s="1852"/>
      <c r="Q149" s="1852"/>
      <c r="R149" s="2328"/>
      <c r="S149" s="1852"/>
      <c r="T149" s="1852"/>
      <c r="U149" s="1236"/>
      <c r="V149" s="1852"/>
      <c r="W149" s="1852"/>
      <c r="X149" s="1852"/>
      <c r="Y149" s="1852"/>
      <c r="Z149" s="1852"/>
      <c r="AA149" s="2324"/>
      <c r="AB149" s="1258"/>
      <c r="AC149" s="1258"/>
      <c r="AD149" s="1258"/>
      <c r="AE149" s="1258"/>
      <c r="AF149" s="2333">
        <v>11</v>
      </c>
    </row>
    <row s="61193" customFormat="1" customHeight="1" ht="11.549999999999999">
      <c r="A150" s="1679"/>
      <c r="B150" s="2328"/>
      <c r="C150" s="2328"/>
      <c r="D150" s="1043"/>
      <c r="K150" s="1852"/>
      <c r="L150" s="2328"/>
      <c r="M150" s="2328"/>
      <c r="N150" s="1852"/>
      <c r="O150" s="1852"/>
      <c r="P150" s="1852"/>
      <c r="Q150" s="1852"/>
      <c r="R150" s="2328"/>
      <c r="S150" s="1852"/>
      <c r="T150" s="1852"/>
      <c r="U150" s="1236"/>
      <c r="V150" s="1852"/>
      <c r="W150" s="1852"/>
      <c r="X150" s="1852"/>
      <c r="Y150" s="1852"/>
      <c r="Z150" s="1852"/>
      <c r="AA150" s="2324"/>
      <c r="AB150" s="1258"/>
      <c r="AC150" s="1258"/>
      <c r="AD150" s="1258"/>
      <c r="AE150" s="1258"/>
      <c r="AF150" s="2333">
        <v>11</v>
      </c>
    </row>
    <row s="61193" customFormat="1" customHeight="1" ht="11.549999999999999">
      <c r="A151" s="1679"/>
      <c r="B151" s="2328"/>
      <c r="C151" s="2328"/>
      <c r="D151" s="1043"/>
      <c r="K151" s="1852"/>
      <c r="L151" s="2328"/>
      <c r="M151" s="2328"/>
      <c r="N151" s="1852"/>
      <c r="O151" s="1852"/>
      <c r="P151" s="1852"/>
      <c r="Q151" s="1852"/>
      <c r="R151" s="2328"/>
      <c r="S151" s="1852"/>
      <c r="T151" s="1852"/>
      <c r="U151" s="1236"/>
      <c r="V151" s="1852"/>
      <c r="W151" s="1852"/>
      <c r="X151" s="1852"/>
      <c r="Y151" s="1852"/>
      <c r="Z151" s="1852"/>
      <c r="AA151" s="2324"/>
      <c r="AB151" s="1258"/>
      <c r="AC151" s="1258"/>
      <c r="AD151" s="1258"/>
      <c r="AE151" s="1258"/>
      <c r="AF151" s="2333">
        <v>11</v>
      </c>
    </row>
    <row s="61193" customFormat="1" customHeight="1" ht="11.549999999999999">
      <c r="A152" s="1679"/>
      <c r="B152" s="2328"/>
      <c r="C152" s="2328"/>
      <c r="D152" s="1043"/>
      <c r="K152" s="1852"/>
      <c r="L152" s="2328"/>
      <c r="M152" s="2328"/>
      <c r="N152" s="1852"/>
      <c r="O152" s="1852"/>
      <c r="P152" s="1852"/>
      <c r="Q152" s="1852"/>
      <c r="R152" s="2328"/>
      <c r="S152" s="1852"/>
      <c r="T152" s="1852"/>
      <c r="U152" s="1236"/>
      <c r="V152" s="1852"/>
      <c r="W152" s="1852"/>
      <c r="X152" s="1852"/>
      <c r="Y152" s="1852"/>
      <c r="Z152" s="1852"/>
      <c r="AA152" s="2324"/>
      <c r="AB152" s="1258"/>
      <c r="AC152" s="1258"/>
      <c r="AD152" s="1258"/>
      <c r="AE152" s="1258"/>
      <c r="AF152" s="2333">
        <v>11</v>
      </c>
    </row>
    <row s="61193" customFormat="1" customHeight="1" ht="11.549999999999999">
      <c r="A153" s="1679"/>
      <c r="B153" s="2328"/>
      <c r="C153" s="2328"/>
      <c r="D153" s="1043"/>
      <c r="K153" s="1852"/>
      <c r="L153" s="2328"/>
      <c r="M153" s="2328"/>
      <c r="N153" s="1852"/>
      <c r="O153" s="1852"/>
      <c r="P153" s="1852"/>
      <c r="Q153" s="1852"/>
      <c r="R153" s="2328"/>
      <c r="S153" s="1852"/>
      <c r="T153" s="1852"/>
      <c r="U153" s="1236"/>
      <c r="V153" s="1852"/>
      <c r="W153" s="1852"/>
      <c r="X153" s="1852"/>
      <c r="Y153" s="1852"/>
      <c r="Z153" s="1852"/>
      <c r="AA153" s="2324"/>
      <c r="AB153" s="1258"/>
      <c r="AC153" s="1258"/>
      <c r="AD153" s="1258"/>
      <c r="AE153" s="1258"/>
      <c r="AF153" s="2333">
        <v>11</v>
      </c>
    </row>
    <row s="61193" customFormat="1" customHeight="1" ht="11.549999999999999">
      <c r="A154" s="1679"/>
      <c r="B154" s="2328"/>
      <c r="C154" s="2328"/>
      <c r="D154" s="1043"/>
      <c r="K154" s="1852"/>
      <c r="L154" s="2328"/>
      <c r="M154" s="2328"/>
      <c r="N154" s="1852"/>
      <c r="O154" s="1852"/>
      <c r="P154" s="1852"/>
      <c r="Q154" s="1852"/>
      <c r="R154" s="2328"/>
      <c r="S154" s="1852"/>
      <c r="T154" s="1852"/>
      <c r="U154" s="1236"/>
      <c r="V154" s="1852"/>
      <c r="W154" s="1852"/>
      <c r="X154" s="1852"/>
      <c r="Y154" s="1852"/>
      <c r="Z154" s="1852"/>
      <c r="AA154" s="2324"/>
      <c r="AB154" s="1258"/>
      <c r="AC154" s="1258"/>
      <c r="AD154" s="1258"/>
      <c r="AE154" s="1258"/>
      <c r="AF154" s="2333">
        <v>11</v>
      </c>
    </row>
    <row s="61193" customFormat="1" customHeight="1" ht="11.549999999999999">
      <c r="A155" s="1679"/>
      <c r="B155" s="2328"/>
      <c r="C155" s="2328"/>
      <c r="D155" s="1043"/>
      <c r="K155" s="1852"/>
      <c r="L155" s="2328"/>
      <c r="M155" s="2328"/>
      <c r="N155" s="1852"/>
      <c r="O155" s="1852"/>
      <c r="P155" s="1852"/>
      <c r="Q155" s="1852"/>
      <c r="R155" s="2328"/>
      <c r="S155" s="1852"/>
      <c r="T155" s="1852"/>
      <c r="U155" s="1236"/>
      <c r="V155" s="1852"/>
      <c r="W155" s="1852"/>
      <c r="X155" s="1852"/>
      <c r="Y155" s="1852"/>
      <c r="Z155" s="1852"/>
      <c r="AA155" s="2324"/>
      <c r="AB155" s="1258"/>
      <c r="AC155" s="1258"/>
      <c r="AD155" s="1258"/>
      <c r="AE155" s="1258"/>
      <c r="AF155" s="2333">
        <v>11</v>
      </c>
    </row>
    <row s="61193" customFormat="1" customHeight="1" ht="11.549999999999999">
      <c r="A156" s="1679"/>
      <c r="B156" s="2328"/>
      <c r="C156" s="2328"/>
      <c r="D156" s="1043"/>
      <c r="K156" s="1852"/>
      <c r="L156" s="2328"/>
      <c r="M156" s="2328"/>
      <c r="N156" s="1852"/>
      <c r="O156" s="1852"/>
      <c r="P156" s="1852"/>
      <c r="Q156" s="1852"/>
      <c r="R156" s="2328"/>
      <c r="S156" s="1852"/>
      <c r="T156" s="1852"/>
      <c r="U156" s="1236"/>
      <c r="V156" s="1852"/>
      <c r="W156" s="1852"/>
      <c r="X156" s="1852"/>
      <c r="Y156" s="1852"/>
      <c r="Z156" s="1852"/>
      <c r="AA156" s="2324"/>
      <c r="AB156" s="1258"/>
      <c r="AC156" s="1258"/>
      <c r="AD156" s="1258"/>
      <c r="AE156" s="1258"/>
      <c r="AF156" s="2333">
        <v>11</v>
      </c>
    </row>
    <row s="61193" customFormat="1" customHeight="1" ht="11.549999999999999">
      <c r="A157" s="1679"/>
      <c r="B157" s="2328"/>
      <c r="C157" s="2328"/>
      <c r="D157" s="1043"/>
      <c r="K157" s="1852"/>
      <c r="L157" s="2328"/>
      <c r="M157" s="2328"/>
      <c r="N157" s="1852"/>
      <c r="O157" s="1852"/>
      <c r="P157" s="1852"/>
      <c r="Q157" s="1852"/>
      <c r="R157" s="2328"/>
      <c r="S157" s="1852"/>
      <c r="T157" s="1852"/>
      <c r="U157" s="1236"/>
      <c r="V157" s="1852"/>
      <c r="W157" s="1852"/>
      <c r="X157" s="1852"/>
      <c r="Y157" s="1852"/>
      <c r="Z157" s="1852"/>
      <c r="AA157" s="2324"/>
      <c r="AB157" s="1258"/>
      <c r="AC157" s="1258"/>
      <c r="AD157" s="1258"/>
      <c r="AE157" s="1258"/>
      <c r="AF157" s="2333">
        <v>11</v>
      </c>
    </row>
    <row s="61193" customFormat="1" customHeight="1" ht="11.549999999999999">
      <c r="A158" s="1679"/>
      <c r="B158" s="2328"/>
      <c r="C158" s="2328"/>
      <c r="D158" s="1043"/>
      <c r="K158" s="1852"/>
      <c r="L158" s="2328"/>
      <c r="M158" s="2328"/>
      <c r="N158" s="1852"/>
      <c r="O158" s="1852"/>
      <c r="P158" s="1852"/>
      <c r="Q158" s="1852"/>
      <c r="R158" s="2328"/>
      <c r="S158" s="1852"/>
      <c r="T158" s="1852"/>
      <c r="U158" s="1236"/>
      <c r="V158" s="1852"/>
      <c r="W158" s="1852"/>
      <c r="X158" s="1852"/>
      <c r="Y158" s="1852"/>
      <c r="Z158" s="1852"/>
      <c r="AA158" s="2324"/>
      <c r="AB158" s="1258"/>
      <c r="AC158" s="1258"/>
      <c r="AD158" s="1258"/>
      <c r="AE158" s="1258"/>
      <c r="AF158" s="2333">
        <v>11</v>
      </c>
    </row>
    <row s="61193" customFormat="1" customHeight="1" ht="11.549999999999999">
      <c r="A159" s="1679"/>
      <c r="B159" s="2328"/>
      <c r="C159" s="2328"/>
      <c r="D159" s="1043"/>
      <c r="K159" s="1852"/>
      <c r="L159" s="2328"/>
      <c r="M159" s="2328"/>
      <c r="N159" s="1852"/>
      <c r="O159" s="1852"/>
      <c r="P159" s="1852"/>
      <c r="Q159" s="1852"/>
      <c r="R159" s="2328"/>
      <c r="S159" s="1852"/>
      <c r="T159" s="1852"/>
      <c r="U159" s="1236"/>
      <c r="V159" s="1852"/>
      <c r="W159" s="1852"/>
      <c r="X159" s="1852"/>
      <c r="Y159" s="1852"/>
      <c r="Z159" s="1852"/>
      <c r="AA159" s="2324"/>
      <c r="AB159" s="1258"/>
      <c r="AC159" s="1258"/>
      <c r="AD159" s="1258"/>
      <c r="AE159" s="1258"/>
      <c r="AF159" s="2333">
        <v>11</v>
      </c>
    </row>
    <row s="61193" customFormat="1" customHeight="1" ht="11.549999999999999">
      <c r="A160" s="1679"/>
      <c r="B160" s="2328"/>
      <c r="C160" s="2328"/>
      <c r="D160" s="1043"/>
      <c r="K160" s="1852"/>
      <c r="L160" s="2328"/>
      <c r="M160" s="2328"/>
      <c r="N160" s="1852"/>
      <c r="O160" s="1852"/>
      <c r="P160" s="1852"/>
      <c r="Q160" s="1852"/>
      <c r="R160" s="2328"/>
      <c r="S160" s="1852"/>
      <c r="T160" s="1852"/>
      <c r="U160" s="1236"/>
      <c r="V160" s="1852"/>
      <c r="W160" s="1852"/>
      <c r="X160" s="1852"/>
      <c r="Y160" s="1852"/>
      <c r="Z160" s="1852"/>
      <c r="AA160" s="2324"/>
      <c r="AB160" s="1258"/>
      <c r="AC160" s="1258"/>
      <c r="AD160" s="1258"/>
      <c r="AE160" s="1258"/>
      <c r="AF160" s="2333">
        <v>11</v>
      </c>
    </row>
    <row s="61193" customFormat="1" customHeight="1" ht="11.549999999999999">
      <c r="A161" s="1679"/>
      <c r="B161" s="2328"/>
      <c r="C161" s="2328"/>
      <c r="D161" s="1043"/>
      <c r="K161" s="1852"/>
      <c r="L161" s="2328"/>
      <c r="M161" s="2328"/>
      <c r="N161" s="1852"/>
      <c r="O161" s="1852"/>
      <c r="P161" s="1852"/>
      <c r="Q161" s="1852"/>
      <c r="R161" s="2328"/>
      <c r="S161" s="1852"/>
      <c r="T161" s="1852"/>
      <c r="U161" s="1236"/>
      <c r="V161" s="1852"/>
      <c r="W161" s="1852"/>
      <c r="X161" s="1852"/>
      <c r="Y161" s="1852"/>
      <c r="Z161" s="1852"/>
      <c r="AA161" s="2324"/>
      <c r="AB161" s="1258"/>
      <c r="AC161" s="1258"/>
      <c r="AD161" s="1258"/>
      <c r="AE161" s="1258"/>
      <c r="AF161" s="2333">
        <v>11</v>
      </c>
    </row>
    <row s="61193" customFormat="1" customHeight="1" ht="11.549999999999999">
      <c r="A162" s="1679"/>
      <c r="B162" s="2328"/>
      <c r="C162" s="2328"/>
      <c r="D162" s="1043"/>
      <c r="K162" s="1852"/>
      <c r="L162" s="2328"/>
      <c r="M162" s="2328"/>
      <c r="N162" s="1852"/>
      <c r="O162" s="1852"/>
      <c r="P162" s="1852"/>
      <c r="Q162" s="1852"/>
      <c r="R162" s="2328"/>
      <c r="S162" s="1852"/>
      <c r="T162" s="1852"/>
      <c r="U162" s="1236"/>
      <c r="V162" s="1852"/>
      <c r="W162" s="1852"/>
      <c r="X162" s="1852"/>
      <c r="Y162" s="1852"/>
      <c r="Z162" s="1852"/>
      <c r="AA162" s="2324"/>
      <c r="AB162" s="1258"/>
      <c r="AC162" s="1258"/>
      <c r="AD162" s="1258"/>
      <c r="AE162" s="1258"/>
      <c r="AF162" s="2333">
        <v>11</v>
      </c>
    </row>
    <row s="61193" customFormat="1" customHeight="1" ht="11.549999999999999">
      <c r="A163" s="1679"/>
      <c r="B163" s="2328"/>
      <c r="C163" s="2328"/>
      <c r="D163" s="1043"/>
      <c r="K163" s="1852"/>
      <c r="L163" s="2328"/>
      <c r="M163" s="2328"/>
      <c r="N163" s="1852"/>
      <c r="O163" s="1852"/>
      <c r="P163" s="1852"/>
      <c r="Q163" s="1852"/>
      <c r="R163" s="2328"/>
      <c r="S163" s="1852"/>
      <c r="T163" s="1852"/>
      <c r="U163" s="1236"/>
      <c r="V163" s="1852"/>
      <c r="W163" s="1852"/>
      <c r="X163" s="1852"/>
      <c r="Y163" s="1852"/>
      <c r="Z163" s="1852"/>
      <c r="AA163" s="2324"/>
      <c r="AB163" s="1258"/>
      <c r="AC163" s="1258"/>
      <c r="AD163" s="1258"/>
      <c r="AE163" s="1258"/>
      <c r="AF163" s="2333">
        <v>11</v>
      </c>
    </row>
    <row s="61193" customFormat="1" customHeight="1" ht="11.549999999999999">
      <c r="A164" s="1679"/>
      <c r="B164" s="2328"/>
      <c r="C164" s="2328"/>
      <c r="D164" s="1043"/>
      <c r="K164" s="1852"/>
      <c r="L164" s="2328"/>
      <c r="M164" s="2328"/>
      <c r="N164" s="1852"/>
      <c r="O164" s="1852"/>
      <c r="P164" s="1852"/>
      <c r="Q164" s="1852"/>
      <c r="R164" s="2328"/>
      <c r="S164" s="1852"/>
      <c r="T164" s="1852"/>
      <c r="U164" s="1236"/>
      <c r="V164" s="1852"/>
      <c r="W164" s="1852"/>
      <c r="X164" s="1852"/>
      <c r="Y164" s="1852"/>
      <c r="Z164" s="1852"/>
      <c r="AA164" s="2324"/>
      <c r="AB164" s="1258"/>
      <c r="AC164" s="1258"/>
      <c r="AD164" s="1258"/>
      <c r="AE164" s="1258"/>
      <c r="AF164" s="2333">
        <v>11</v>
      </c>
    </row>
    <row s="61193" customFormat="1" customHeight="1" ht="11.549999999999999">
      <c r="A165" s="1679"/>
      <c r="B165" s="2328"/>
      <c r="C165" s="2328"/>
      <c r="D165" s="1043"/>
      <c r="K165" s="1852"/>
      <c r="L165" s="2328"/>
      <c r="M165" s="2328"/>
      <c r="N165" s="1852"/>
      <c r="O165" s="1852"/>
      <c r="P165" s="1852"/>
      <c r="Q165" s="1852"/>
      <c r="R165" s="2328"/>
      <c r="S165" s="1852"/>
      <c r="T165" s="1852"/>
      <c r="U165" s="1236"/>
      <c r="V165" s="1852"/>
      <c r="W165" s="1852"/>
      <c r="X165" s="1852"/>
      <c r="Y165" s="1852"/>
      <c r="Z165" s="1852"/>
      <c r="AA165" s="2324"/>
      <c r="AB165" s="1258"/>
      <c r="AC165" s="1258"/>
      <c r="AD165" s="1258"/>
      <c r="AE165" s="1258"/>
      <c r="AF165" s="2333">
        <v>11</v>
      </c>
    </row>
    <row s="61193" customFormat="1" customHeight="1" ht="11.549999999999999">
      <c r="A166" s="1679"/>
      <c r="B166" s="2328"/>
      <c r="C166" s="2328"/>
      <c r="D166" s="1043"/>
      <c r="K166" s="1852"/>
      <c r="L166" s="2328"/>
      <c r="M166" s="2328"/>
      <c r="N166" s="1852"/>
      <c r="O166" s="1852"/>
      <c r="P166" s="1852"/>
      <c r="Q166" s="1852"/>
      <c r="R166" s="2328"/>
      <c r="S166" s="1852"/>
      <c r="T166" s="1852"/>
      <c r="U166" s="1236"/>
      <c r="V166" s="1852"/>
      <c r="W166" s="1852"/>
      <c r="X166" s="1852"/>
      <c r="Y166" s="1852"/>
      <c r="Z166" s="1852"/>
      <c r="AA166" s="2324"/>
      <c r="AB166" s="1258"/>
      <c r="AC166" s="1258"/>
      <c r="AD166" s="1258"/>
      <c r="AE166" s="1258"/>
      <c r="AF166" s="2333">
        <v>11</v>
      </c>
    </row>
    <row s="61193" customFormat="1" customHeight="1" ht="11.549999999999999">
      <c r="A167" s="1679"/>
      <c r="B167" s="2328"/>
      <c r="C167" s="2328"/>
      <c r="D167" s="1043"/>
      <c r="K167" s="1852"/>
      <c r="L167" s="2328"/>
      <c r="M167" s="2328"/>
      <c r="N167" s="1852"/>
      <c r="O167" s="1852"/>
      <c r="P167" s="1852"/>
      <c r="Q167" s="1852"/>
      <c r="R167" s="2328"/>
      <c r="S167" s="1852"/>
      <c r="T167" s="1852"/>
      <c r="U167" s="1236"/>
      <c r="V167" s="1852"/>
      <c r="W167" s="1852"/>
      <c r="X167" s="1852"/>
      <c r="Y167" s="1852"/>
      <c r="Z167" s="1852"/>
      <c r="AA167" s="2324"/>
      <c r="AB167" s="1258"/>
      <c r="AC167" s="1258"/>
      <c r="AD167" s="1258"/>
      <c r="AE167" s="1258"/>
      <c r="AF167" s="2333">
        <v>11</v>
      </c>
    </row>
    <row s="61193" customFormat="1" customHeight="1" ht="11.549999999999999">
      <c r="A168" s="1679"/>
      <c r="B168" s="2328"/>
      <c r="C168" s="2328"/>
      <c r="D168" s="1043"/>
      <c r="K168" s="1852"/>
      <c r="L168" s="2328"/>
      <c r="M168" s="2328"/>
      <c r="N168" s="1852"/>
      <c r="O168" s="1852"/>
      <c r="P168" s="1852"/>
      <c r="Q168" s="1852"/>
      <c r="R168" s="2328"/>
      <c r="S168" s="1852"/>
      <c r="T168" s="1852"/>
      <c r="U168" s="1236"/>
      <c r="V168" s="1852"/>
      <c r="W168" s="1852"/>
      <c r="X168" s="1852"/>
      <c r="Y168" s="1852"/>
      <c r="Z168" s="1852"/>
      <c r="AA168" s="2324"/>
      <c r="AB168" s="1258"/>
      <c r="AC168" s="1258"/>
      <c r="AD168" s="1258"/>
      <c r="AE168" s="1258"/>
      <c r="AF168" s="2333">
        <v>11</v>
      </c>
    </row>
    <row s="61193" customFormat="1" customHeight="1" ht="11.549999999999999">
      <c r="A169" s="1679"/>
      <c r="B169" s="2328"/>
      <c r="C169" s="2328"/>
      <c r="D169" s="1043"/>
      <c r="K169" s="1852"/>
      <c r="L169" s="2328"/>
      <c r="M169" s="2328"/>
      <c r="N169" s="1852"/>
      <c r="O169" s="1852"/>
      <c r="P169" s="1852"/>
      <c r="Q169" s="1852"/>
      <c r="R169" s="2328"/>
      <c r="S169" s="1852"/>
      <c r="T169" s="1852"/>
      <c r="U169" s="1236"/>
      <c r="V169" s="1852"/>
      <c r="W169" s="1852"/>
      <c r="X169" s="1852"/>
      <c r="Y169" s="1852"/>
      <c r="Z169" s="1852"/>
      <c r="AA169" s="2324"/>
      <c r="AB169" s="1258"/>
      <c r="AC169" s="1258"/>
      <c r="AD169" s="1258"/>
      <c r="AE169" s="1258"/>
      <c r="AF169" s="2333">
        <v>11</v>
      </c>
    </row>
    <row s="61193" customFormat="1" customHeight="1" ht="11.549999999999999">
      <c r="A170" s="1679"/>
      <c r="B170" s="2328"/>
      <c r="C170" s="2328"/>
      <c r="D170" s="1043"/>
      <c r="K170" s="1852"/>
      <c r="L170" s="2328"/>
      <c r="M170" s="2328"/>
      <c r="N170" s="1852"/>
      <c r="O170" s="1852"/>
      <c r="P170" s="1852"/>
      <c r="Q170" s="1852"/>
      <c r="R170" s="2328"/>
      <c r="S170" s="1852"/>
      <c r="T170" s="1852"/>
      <c r="U170" s="1236"/>
      <c r="V170" s="1852"/>
      <c r="W170" s="1852"/>
      <c r="X170" s="1852"/>
      <c r="Y170" s="1852"/>
      <c r="Z170" s="1852"/>
      <c r="AA170" s="2324"/>
      <c r="AB170" s="1258"/>
      <c r="AC170" s="1258"/>
      <c r="AD170" s="1258"/>
      <c r="AE170" s="1258"/>
      <c r="AF170" s="2333">
        <v>11</v>
      </c>
    </row>
    <row s="61193" customFormat="1" customHeight="1" ht="11.549999999999999">
      <c r="A171" s="1679"/>
      <c r="B171" s="2328"/>
      <c r="C171" s="2328"/>
      <c r="D171" s="1043"/>
      <c r="K171" s="1852"/>
      <c r="L171" s="2328"/>
      <c r="M171" s="2328"/>
      <c r="N171" s="1852"/>
      <c r="O171" s="1852"/>
      <c r="P171" s="1852"/>
      <c r="Q171" s="1852"/>
      <c r="R171" s="2328"/>
      <c r="S171" s="1852"/>
      <c r="T171" s="1852"/>
      <c r="U171" s="1236"/>
      <c r="V171" s="1852"/>
      <c r="W171" s="1852"/>
      <c r="X171" s="1852"/>
      <c r="Y171" s="1852"/>
      <c r="Z171" s="1852"/>
      <c r="AA171" s="2324"/>
      <c r="AB171" s="1258"/>
      <c r="AC171" s="1258"/>
      <c r="AD171" s="1258"/>
      <c r="AE171" s="1258"/>
      <c r="AF171" s="2333">
        <v>11</v>
      </c>
    </row>
    <row s="61193" customFormat="1" customHeight="1" ht="11.549999999999999">
      <c r="A172" s="1679"/>
      <c r="B172" s="2328"/>
      <c r="C172" s="2328"/>
      <c r="D172" s="1043"/>
      <c r="K172" s="1852"/>
      <c r="L172" s="2328"/>
      <c r="M172" s="2328"/>
      <c r="N172" s="1852"/>
      <c r="O172" s="1852"/>
      <c r="P172" s="1852"/>
      <c r="Q172" s="1852"/>
      <c r="R172" s="2328"/>
      <c r="S172" s="1852"/>
      <c r="T172" s="1852"/>
      <c r="U172" s="1236"/>
      <c r="V172" s="1852"/>
      <c r="W172" s="1852"/>
      <c r="X172" s="1852"/>
      <c r="Y172" s="1852"/>
      <c r="Z172" s="1852"/>
      <c r="AA172" s="2324"/>
      <c r="AB172" s="1258"/>
      <c r="AC172" s="1258"/>
      <c r="AD172" s="1258"/>
      <c r="AE172" s="1258"/>
      <c r="AF172" s="2333">
        <v>11</v>
      </c>
    </row>
    <row s="61193" customFormat="1" customHeight="1" ht="11.549999999999999">
      <c r="A173" s="1679"/>
      <c r="B173" s="2328"/>
      <c r="C173" s="2328"/>
      <c r="D173" s="1043"/>
      <c r="K173" s="1852"/>
      <c r="L173" s="2328"/>
      <c r="M173" s="2328"/>
      <c r="N173" s="1852"/>
      <c r="O173" s="1852"/>
      <c r="P173" s="1852"/>
      <c r="Q173" s="1852"/>
      <c r="R173" s="2328"/>
      <c r="S173" s="1852"/>
      <c r="T173" s="1852"/>
      <c r="U173" s="1236"/>
      <c r="V173" s="1852"/>
      <c r="W173" s="1852"/>
      <c r="X173" s="1852"/>
      <c r="Y173" s="1852"/>
      <c r="Z173" s="1852"/>
      <c r="AA173" s="2324"/>
      <c r="AB173" s="1258"/>
      <c r="AC173" s="1258"/>
      <c r="AD173" s="1258"/>
      <c r="AE173" s="1258"/>
      <c r="AF173" s="2333">
        <v>11</v>
      </c>
    </row>
    <row s="61193" customFormat="1" customHeight="1" ht="11.549999999999999">
      <c r="A174" s="1679"/>
      <c r="B174" s="2328"/>
      <c r="C174" s="2328"/>
      <c r="D174" s="1043"/>
      <c r="K174" s="1852"/>
      <c r="L174" s="2328"/>
      <c r="M174" s="2328"/>
      <c r="N174" s="1852"/>
      <c r="O174" s="1852"/>
      <c r="P174" s="1852"/>
      <c r="Q174" s="1852"/>
      <c r="R174" s="2328"/>
      <c r="S174" s="1852"/>
      <c r="T174" s="1852"/>
      <c r="U174" s="1236"/>
      <c r="V174" s="1852"/>
      <c r="W174" s="1852"/>
      <c r="X174" s="1852"/>
      <c r="Y174" s="1852"/>
      <c r="Z174" s="1852"/>
      <c r="AA174" s="2324"/>
      <c r="AB174" s="1258"/>
      <c r="AC174" s="1258"/>
      <c r="AD174" s="1258"/>
      <c r="AE174" s="1258"/>
      <c r="AF174" s="2333">
        <v>11</v>
      </c>
    </row>
    <row s="61193" customFormat="1" customHeight="1" ht="11.549999999999999">
      <c r="A175" s="1679"/>
      <c r="B175" s="2328"/>
      <c r="C175" s="2328"/>
      <c r="D175" s="1043"/>
      <c r="K175" s="1852"/>
      <c r="L175" s="2328"/>
      <c r="M175" s="2328"/>
      <c r="N175" s="1852"/>
      <c r="O175" s="1852"/>
      <c r="P175" s="1852"/>
      <c r="Q175" s="1852"/>
      <c r="R175" s="2328"/>
      <c r="S175" s="1852"/>
      <c r="T175" s="1852"/>
      <c r="U175" s="1236"/>
      <c r="V175" s="1852"/>
      <c r="W175" s="1852"/>
      <c r="X175" s="1852"/>
      <c r="Y175" s="1852"/>
      <c r="Z175" s="1852"/>
      <c r="AA175" s="2324"/>
      <c r="AB175" s="1258"/>
      <c r="AC175" s="1258"/>
      <c r="AD175" s="1258"/>
      <c r="AE175" s="1258"/>
      <c r="AF175" s="2333">
        <v>11</v>
      </c>
    </row>
    <row s="61193" customFormat="1" customHeight="1" ht="11.549999999999999">
      <c r="A176" s="1679"/>
      <c r="B176" s="2328"/>
      <c r="C176" s="2328"/>
      <c r="D176" s="1043"/>
      <c r="K176" s="1852"/>
      <c r="L176" s="2328"/>
      <c r="M176" s="2328"/>
      <c r="N176" s="1852"/>
      <c r="O176" s="1852"/>
      <c r="P176" s="1852"/>
      <c r="Q176" s="1852"/>
      <c r="R176" s="2328"/>
      <c r="S176" s="1852"/>
      <c r="T176" s="1852"/>
      <c r="U176" s="1236"/>
      <c r="V176" s="1852"/>
      <c r="W176" s="1852"/>
      <c r="X176" s="1852"/>
      <c r="Y176" s="1852"/>
      <c r="Z176" s="1852"/>
      <c r="AA176" s="2324"/>
      <c r="AB176" s="1258"/>
      <c r="AC176" s="1258"/>
      <c r="AD176" s="1258"/>
      <c r="AE176" s="1258"/>
      <c r="AF176" s="2333">
        <v>11</v>
      </c>
    </row>
    <row s="61193" customFormat="1" customHeight="1" ht="11.549999999999999">
      <c r="A177" s="1679"/>
      <c r="B177" s="2328"/>
      <c r="C177" s="2328"/>
      <c r="D177" s="1043"/>
      <c r="K177" s="1852"/>
      <c r="L177" s="2328"/>
      <c r="M177" s="2328"/>
      <c r="N177" s="1852"/>
      <c r="O177" s="1852"/>
      <c r="P177" s="1852"/>
      <c r="Q177" s="1852"/>
      <c r="R177" s="2328"/>
      <c r="S177" s="1852"/>
      <c r="T177" s="1852"/>
      <c r="U177" s="1236"/>
      <c r="V177" s="1852"/>
      <c r="W177" s="1852"/>
      <c r="X177" s="1852"/>
      <c r="Y177" s="1852"/>
      <c r="Z177" s="1852"/>
      <c r="AA177" s="2324"/>
      <c r="AB177" s="1258"/>
      <c r="AC177" s="1258"/>
      <c r="AD177" s="1258"/>
      <c r="AE177" s="1258"/>
      <c r="AF177" s="2333">
        <v>11</v>
      </c>
    </row>
    <row s="61193" customFormat="1" customHeight="1" ht="11.549999999999999">
      <c r="A178" s="1679"/>
      <c r="B178" s="2328"/>
      <c r="C178" s="2328"/>
      <c r="D178" s="1043"/>
      <c r="K178" s="1852"/>
      <c r="L178" s="2328"/>
      <c r="M178" s="2328"/>
      <c r="N178" s="1852"/>
      <c r="O178" s="1852"/>
      <c r="P178" s="1852"/>
      <c r="Q178" s="1852"/>
      <c r="R178" s="2328"/>
      <c r="S178" s="1852"/>
      <c r="T178" s="1852"/>
      <c r="U178" s="1236"/>
      <c r="V178" s="1852"/>
      <c r="W178" s="1852"/>
      <c r="X178" s="1852"/>
      <c r="Y178" s="1852"/>
      <c r="Z178" s="1852"/>
      <c r="AA178" s="2324"/>
      <c r="AB178" s="1258"/>
      <c r="AC178" s="1258"/>
      <c r="AD178" s="1258"/>
      <c r="AE178" s="1258"/>
      <c r="AF178" s="2333">
        <v>11</v>
      </c>
    </row>
    <row s="61193" customFormat="1" customHeight="1" ht="11.549999999999999">
      <c r="A179" s="1679"/>
      <c r="B179" s="2328"/>
      <c r="C179" s="2328"/>
      <c r="D179" s="1043"/>
      <c r="K179" s="1852"/>
      <c r="L179" s="2328"/>
      <c r="M179" s="2328"/>
      <c r="N179" s="1852"/>
      <c r="O179" s="1852"/>
      <c r="P179" s="1852"/>
      <c r="Q179" s="1852"/>
      <c r="R179" s="2328"/>
      <c r="S179" s="1852"/>
      <c r="T179" s="1852"/>
      <c r="U179" s="1236"/>
      <c r="V179" s="1852"/>
      <c r="W179" s="1852"/>
      <c r="X179" s="1852"/>
      <c r="Y179" s="1852"/>
      <c r="Z179" s="1852"/>
      <c r="AA179" s="2324"/>
      <c r="AB179" s="1258"/>
      <c r="AC179" s="1258"/>
      <c r="AD179" s="1258"/>
      <c r="AE179" s="1258"/>
      <c r="AF179" s="2333">
        <v>11</v>
      </c>
    </row>
    <row s="61193" customFormat="1" customHeight="1" ht="11.549999999999999">
      <c r="A180" s="1679"/>
      <c r="B180" s="2328"/>
      <c r="C180" s="2328"/>
      <c r="D180" s="1043"/>
      <c r="K180" s="1852"/>
      <c r="L180" s="2328"/>
      <c r="M180" s="2328"/>
      <c r="N180" s="1852"/>
      <c r="O180" s="1852"/>
      <c r="P180" s="1852"/>
      <c r="Q180" s="1852"/>
      <c r="R180" s="2328"/>
      <c r="S180" s="1852"/>
      <c r="T180" s="1852"/>
      <c r="U180" s="1236"/>
      <c r="V180" s="1852"/>
      <c r="W180" s="1852"/>
      <c r="X180" s="1852"/>
      <c r="Y180" s="1852"/>
      <c r="Z180" s="1852"/>
      <c r="AA180" s="2324"/>
      <c r="AB180" s="1258"/>
      <c r="AC180" s="1258"/>
      <c r="AD180" s="1258"/>
      <c r="AE180" s="1258"/>
      <c r="AF180" s="2333">
        <v>11</v>
      </c>
    </row>
    <row s="61193" customFormat="1" customHeight="1" ht="11.549999999999999">
      <c r="A181" s="1679"/>
      <c r="B181" s="2328"/>
      <c r="C181" s="2328"/>
      <c r="D181" s="1043"/>
      <c r="K181" s="1852"/>
      <c r="L181" s="2328"/>
      <c r="M181" s="2328"/>
      <c r="N181" s="1852"/>
      <c r="O181" s="1852"/>
      <c r="P181" s="1852"/>
      <c r="Q181" s="1852"/>
      <c r="R181" s="2328"/>
      <c r="S181" s="1852"/>
      <c r="T181" s="1852"/>
      <c r="U181" s="1236"/>
      <c r="V181" s="1852"/>
      <c r="W181" s="1852"/>
      <c r="X181" s="1852"/>
      <c r="Y181" s="1852"/>
      <c r="Z181" s="1852"/>
      <c r="AA181" s="2324"/>
      <c r="AB181" s="1258"/>
      <c r="AC181" s="1258"/>
      <c r="AD181" s="1258"/>
      <c r="AE181" s="1258"/>
      <c r="AF181" s="2333">
        <v>11</v>
      </c>
    </row>
    <row s="61193" customFormat="1" customHeight="1" ht="11.549999999999999">
      <c r="A182" s="1679"/>
      <c r="B182" s="2328"/>
      <c r="C182" s="2328"/>
      <c r="D182" s="1043"/>
      <c r="K182" s="1852"/>
      <c r="L182" s="2328"/>
      <c r="M182" s="2328"/>
      <c r="N182" s="1852"/>
      <c r="O182" s="1852"/>
      <c r="P182" s="1852"/>
      <c r="Q182" s="1852"/>
      <c r="R182" s="2328"/>
      <c r="S182" s="1852"/>
      <c r="T182" s="1852"/>
      <c r="U182" s="1236"/>
      <c r="V182" s="1852"/>
      <c r="W182" s="1852"/>
      <c r="X182" s="1852"/>
      <c r="Y182" s="1852"/>
      <c r="Z182" s="1852"/>
      <c r="AA182" s="2324"/>
      <c r="AB182" s="1258"/>
      <c r="AC182" s="1258"/>
      <c r="AD182" s="1258"/>
      <c r="AE182" s="1258"/>
      <c r="AF182" s="2333">
        <v>11</v>
      </c>
    </row>
    <row s="61193" customFormat="1" customHeight="1" ht="11.549999999999999">
      <c r="A183" s="1679"/>
      <c r="B183" s="2328"/>
      <c r="C183" s="2328"/>
      <c r="D183" s="1043"/>
      <c r="K183" s="1852"/>
      <c r="L183" s="2328"/>
      <c r="M183" s="2328"/>
      <c r="N183" s="1852"/>
      <c r="O183" s="1852"/>
      <c r="P183" s="1852"/>
      <c r="Q183" s="1852"/>
      <c r="R183" s="2328"/>
      <c r="S183" s="1852"/>
      <c r="T183" s="1852"/>
      <c r="U183" s="1236"/>
      <c r="V183" s="1852"/>
      <c r="W183" s="1852"/>
      <c r="X183" s="1852"/>
      <c r="Y183" s="1852"/>
      <c r="Z183" s="1852"/>
      <c r="AA183" s="2324"/>
      <c r="AB183" s="1258"/>
      <c r="AC183" s="1258"/>
      <c r="AD183" s="1258"/>
      <c r="AE183" s="1258"/>
      <c r="AF183" s="2333">
        <v>11</v>
      </c>
    </row>
    <row s="61193" customFormat="1" customHeight="1" ht="11.549999999999999">
      <c r="A184" s="1679"/>
      <c r="B184" s="2328"/>
      <c r="C184" s="2328"/>
      <c r="D184" s="1043"/>
      <c r="K184" s="1852"/>
      <c r="L184" s="2328"/>
      <c r="M184" s="2328"/>
      <c r="N184" s="1852"/>
      <c r="O184" s="1852"/>
      <c r="P184" s="1852"/>
      <c r="Q184" s="1852"/>
      <c r="R184" s="2328"/>
      <c r="S184" s="1852"/>
      <c r="T184" s="1852"/>
      <c r="U184" s="1236"/>
      <c r="V184" s="1852"/>
      <c r="W184" s="1852"/>
      <c r="X184" s="1852"/>
      <c r="Y184" s="1852"/>
      <c r="Z184" s="1852"/>
      <c r="AA184" s="2324"/>
      <c r="AB184" s="1258"/>
      <c r="AC184" s="1258"/>
      <c r="AD184" s="1258"/>
      <c r="AE184" s="1258"/>
      <c r="AF184" s="2333">
        <v>11</v>
      </c>
    </row>
    <row s="61193" customFormat="1" customHeight="1" ht="11.549999999999999">
      <c r="A185" s="1679"/>
      <c r="B185" s="2328"/>
      <c r="C185" s="2328"/>
      <c r="D185" s="1043"/>
      <c r="K185" s="1852"/>
      <c r="L185" s="2328"/>
      <c r="M185" s="2328"/>
      <c r="N185" s="1852"/>
      <c r="O185" s="1852"/>
      <c r="P185" s="1852"/>
      <c r="Q185" s="1852"/>
      <c r="R185" s="2328"/>
      <c r="S185" s="1852"/>
      <c r="T185" s="1852"/>
      <c r="U185" s="1236"/>
      <c r="V185" s="1852"/>
      <c r="W185" s="1852"/>
      <c r="X185" s="1852"/>
      <c r="Y185" s="1852"/>
      <c r="Z185" s="1852"/>
      <c r="AA185" s="2324"/>
      <c r="AB185" s="1258"/>
      <c r="AC185" s="1258"/>
      <c r="AD185" s="1258"/>
      <c r="AE185" s="1258"/>
      <c r="AF185" s="2333">
        <v>11</v>
      </c>
    </row>
    <row s="61193" customFormat="1" customHeight="1" ht="11.549999999999999">
      <c r="A186" s="1679"/>
      <c r="B186" s="2328"/>
      <c r="C186" s="2328"/>
      <c r="D186" s="1043"/>
      <c r="K186" s="1852"/>
      <c r="L186" s="2328"/>
      <c r="M186" s="2328"/>
      <c r="N186" s="1852"/>
      <c r="O186" s="1852"/>
      <c r="P186" s="1852"/>
      <c r="Q186" s="1852"/>
      <c r="R186" s="2328"/>
      <c r="S186" s="1852"/>
      <c r="T186" s="1852"/>
      <c r="U186" s="1236"/>
      <c r="V186" s="1852"/>
      <c r="W186" s="1852"/>
      <c r="X186" s="1852"/>
      <c r="Y186" s="1852"/>
      <c r="Z186" s="1852"/>
      <c r="AA186" s="2324"/>
      <c r="AB186" s="1258"/>
      <c r="AC186" s="1258"/>
      <c r="AD186" s="1258"/>
      <c r="AE186" s="1258"/>
      <c r="AF186" s="2333">
        <v>11</v>
      </c>
    </row>
    <row s="61193" customFormat="1" customHeight="1" ht="11.549999999999999">
      <c r="A187" s="1679"/>
      <c r="B187" s="2328"/>
      <c r="C187" s="2328"/>
      <c r="D187" s="1043"/>
      <c r="K187" s="1852"/>
      <c r="L187" s="2328"/>
      <c r="M187" s="2328"/>
      <c r="N187" s="1852"/>
      <c r="O187" s="1852"/>
      <c r="P187" s="1852"/>
      <c r="Q187" s="1852"/>
      <c r="R187" s="2328"/>
      <c r="S187" s="1852"/>
      <c r="T187" s="1852"/>
      <c r="U187" s="1236"/>
      <c r="V187" s="1852"/>
      <c r="W187" s="1852"/>
      <c r="X187" s="1852"/>
      <c r="Y187" s="1852"/>
      <c r="Z187" s="1852"/>
      <c r="AA187" s="2324"/>
      <c r="AB187" s="1258"/>
      <c r="AC187" s="1258"/>
      <c r="AD187" s="1258"/>
      <c r="AE187" s="1258"/>
      <c r="AF187" s="2333">
        <v>11</v>
      </c>
    </row>
    <row s="61193" customFormat="1" customHeight="1" ht="11.549999999999999">
      <c r="A188" s="1679"/>
      <c r="B188" s="2328"/>
      <c r="C188" s="2328"/>
      <c r="D188" s="1043"/>
      <c r="K188" s="1852"/>
      <c r="L188" s="2328"/>
      <c r="M188" s="2328"/>
      <c r="N188" s="1852"/>
      <c r="O188" s="1852"/>
      <c r="P188" s="1852"/>
      <c r="Q188" s="1852"/>
      <c r="R188" s="2328"/>
      <c r="S188" s="1852"/>
      <c r="T188" s="1852"/>
      <c r="U188" s="1236"/>
      <c r="V188" s="1852"/>
      <c r="W188" s="1852"/>
      <c r="X188" s="1852"/>
      <c r="Y188" s="1852"/>
      <c r="Z188" s="1852"/>
      <c r="AA188" s="2324"/>
      <c r="AB188" s="1258"/>
      <c r="AC188" s="1258"/>
      <c r="AD188" s="1258"/>
      <c r="AE188" s="1258"/>
      <c r="AF188" s="2333">
        <v>11</v>
      </c>
    </row>
    <row s="61193" customFormat="1" customHeight="1" ht="11.549999999999999">
      <c r="A189" s="1679"/>
      <c r="B189" s="2328"/>
      <c r="C189" s="2328"/>
      <c r="D189" s="1043"/>
      <c r="K189" s="1852"/>
      <c r="L189" s="2328"/>
      <c r="M189" s="2328"/>
      <c r="N189" s="1852"/>
      <c r="O189" s="1852"/>
      <c r="P189" s="1852"/>
      <c r="Q189" s="1852"/>
      <c r="R189" s="2328"/>
      <c r="S189" s="1852"/>
      <c r="T189" s="1852"/>
      <c r="U189" s="1236"/>
      <c r="V189" s="1852"/>
      <c r="W189" s="1852"/>
      <c r="X189" s="1852"/>
      <c r="Y189" s="1852"/>
      <c r="Z189" s="1852"/>
      <c r="AA189" s="2324"/>
      <c r="AB189" s="1258"/>
      <c r="AC189" s="1258"/>
      <c r="AD189" s="1258"/>
      <c r="AE189" s="1258"/>
      <c r="AF189" s="2333">
        <v>11</v>
      </c>
    </row>
    <row s="61193" customFormat="1" customHeight="1" ht="11.549999999999999">
      <c r="A190" s="1679"/>
      <c r="B190" s="2328"/>
      <c r="C190" s="2328"/>
      <c r="D190" s="1043"/>
      <c r="K190" s="1852"/>
      <c r="L190" s="2328"/>
      <c r="M190" s="2328"/>
      <c r="N190" s="1852"/>
      <c r="O190" s="1852"/>
      <c r="P190" s="1852"/>
      <c r="Q190" s="1852"/>
      <c r="R190" s="2328"/>
      <c r="S190" s="1852"/>
      <c r="T190" s="1852"/>
      <c r="U190" s="1236"/>
      <c r="V190" s="1852"/>
      <c r="W190" s="1852"/>
      <c r="X190" s="1852"/>
      <c r="Y190" s="1852"/>
      <c r="Z190" s="1852"/>
      <c r="AA190" s="2324"/>
      <c r="AB190" s="1258"/>
      <c r="AC190" s="1258"/>
      <c r="AD190" s="1258"/>
      <c r="AE190" s="1258"/>
      <c r="AF190" s="2333">
        <v>11</v>
      </c>
    </row>
    <row s="61193" customFormat="1" customHeight="1" ht="11.549999999999999">
      <c r="A191" s="1679"/>
      <c r="B191" s="2328"/>
      <c r="C191" s="2328"/>
      <c r="D191" s="1043"/>
      <c r="K191" s="1852"/>
      <c r="L191" s="2328"/>
      <c r="M191" s="2328"/>
      <c r="N191" s="1852"/>
      <c r="O191" s="1852"/>
      <c r="P191" s="1852"/>
      <c r="Q191" s="1852"/>
      <c r="R191" s="2328"/>
      <c r="S191" s="1852"/>
      <c r="T191" s="1852"/>
      <c r="U191" s="1236"/>
      <c r="V191" s="1852"/>
      <c r="W191" s="1852"/>
      <c r="X191" s="1852"/>
      <c r="Y191" s="1852"/>
      <c r="Z191" s="1852"/>
      <c r="AA191" s="2324"/>
      <c r="AB191" s="1258"/>
      <c r="AC191" s="1258"/>
      <c r="AD191" s="1258"/>
      <c r="AE191" s="1258"/>
      <c r="AF191" s="2333">
        <v>11</v>
      </c>
    </row>
    <row s="61193" customFormat="1" customHeight="1" ht="11.549999999999999">
      <c r="A192" s="1679"/>
      <c r="B192" s="2328"/>
      <c r="C192" s="2328"/>
      <c r="D192" s="1043"/>
      <c r="K192" s="1852"/>
      <c r="L192" s="2328"/>
      <c r="M192" s="2328"/>
      <c r="N192" s="1852"/>
      <c r="O192" s="1852"/>
      <c r="P192" s="1852"/>
      <c r="Q192" s="1852"/>
      <c r="R192" s="2328"/>
      <c r="S192" s="1852"/>
      <c r="T192" s="1852"/>
      <c r="U192" s="1236"/>
      <c r="V192" s="1852"/>
      <c r="W192" s="1852"/>
      <c r="X192" s="1852"/>
      <c r="Y192" s="1852"/>
      <c r="Z192" s="1852"/>
      <c r="AA192" s="2324"/>
      <c r="AB192" s="1258"/>
      <c r="AC192" s="1258"/>
      <c r="AD192" s="1258"/>
      <c r="AE192" s="1258"/>
      <c r="AF192" s="2333">
        <v>11</v>
      </c>
    </row>
    <row s="61193" customFormat="1" customHeight="1" ht="11.549999999999999">
      <c r="A193" s="1679"/>
      <c r="B193" s="2328"/>
      <c r="C193" s="2328"/>
      <c r="D193" s="1043"/>
      <c r="K193" s="1852"/>
      <c r="L193" s="2328"/>
      <c r="M193" s="2328"/>
      <c r="N193" s="1852"/>
      <c r="O193" s="1852"/>
      <c r="P193" s="1852"/>
      <c r="Q193" s="1852"/>
      <c r="R193" s="2328"/>
      <c r="S193" s="1852"/>
      <c r="T193" s="1852"/>
      <c r="U193" s="1236"/>
      <c r="V193" s="1852"/>
      <c r="W193" s="1852"/>
      <c r="X193" s="1852"/>
      <c r="Y193" s="1852"/>
      <c r="Z193" s="1852"/>
      <c r="AA193" s="2324"/>
      <c r="AB193" s="1258"/>
      <c r="AC193" s="1258"/>
      <c r="AD193" s="1258"/>
      <c r="AE193" s="1258"/>
      <c r="AF193" s="2333">
        <v>11</v>
      </c>
    </row>
    <row s="61193" customFormat="1" customHeight="1" ht="11.549999999999999">
      <c r="A194" s="1679"/>
      <c r="B194" s="2328"/>
      <c r="C194" s="2328"/>
      <c r="D194" s="1043"/>
      <c r="K194" s="1852"/>
      <c r="L194" s="2328"/>
      <c r="M194" s="2328"/>
      <c r="N194" s="1852"/>
      <c r="O194" s="1852"/>
      <c r="P194" s="1852"/>
      <c r="Q194" s="1852"/>
      <c r="R194" s="2328"/>
      <c r="S194" s="1852"/>
      <c r="T194" s="1852"/>
      <c r="U194" s="1236"/>
      <c r="V194" s="1852"/>
      <c r="W194" s="1852"/>
      <c r="X194" s="1852"/>
      <c r="Y194" s="1852"/>
      <c r="Z194" s="1852"/>
      <c r="AA194" s="2324"/>
      <c r="AB194" s="1258"/>
      <c r="AC194" s="1258"/>
      <c r="AD194" s="1258"/>
      <c r="AE194" s="1258"/>
      <c r="AF194" s="2333">
        <v>11</v>
      </c>
    </row>
    <row s="61193" customFormat="1" customHeight="1" ht="11.549999999999999">
      <c r="A195" s="1679"/>
      <c r="B195" s="2328"/>
      <c r="C195" s="2328"/>
      <c r="D195" s="1043"/>
      <c r="K195" s="1852"/>
      <c r="L195" s="2328"/>
      <c r="M195" s="2328"/>
      <c r="N195" s="1852"/>
      <c r="O195" s="1852"/>
      <c r="P195" s="1852"/>
      <c r="Q195" s="1852"/>
      <c r="R195" s="2328"/>
      <c r="S195" s="1852"/>
      <c r="T195" s="1852"/>
      <c r="U195" s="1236"/>
      <c r="V195" s="1852"/>
      <c r="W195" s="1852"/>
      <c r="X195" s="1852"/>
      <c r="Y195" s="1852"/>
      <c r="Z195" s="1852"/>
      <c r="AA195" s="2324"/>
      <c r="AB195" s="1258"/>
      <c r="AC195" s="1258"/>
      <c r="AD195" s="1258"/>
      <c r="AE195" s="1258"/>
      <c r="AF195" s="2333">
        <v>11</v>
      </c>
    </row>
    <row s="61193" customFormat="1" customHeight="1" ht="11.549999999999999">
      <c r="A196" s="1679"/>
      <c r="B196" s="2328"/>
      <c r="C196" s="2328"/>
      <c r="D196" s="1043"/>
      <c r="K196" s="1852"/>
      <c r="L196" s="2328"/>
      <c r="M196" s="2328"/>
      <c r="N196" s="1852"/>
      <c r="O196" s="1852"/>
      <c r="P196" s="1852"/>
      <c r="Q196" s="1852"/>
      <c r="R196" s="2328"/>
      <c r="S196" s="1852"/>
      <c r="T196" s="1852"/>
      <c r="U196" s="1236"/>
      <c r="V196" s="1852"/>
      <c r="W196" s="1852"/>
      <c r="X196" s="1852"/>
      <c r="Y196" s="1852"/>
      <c r="Z196" s="1852"/>
      <c r="AA196" s="2324"/>
      <c r="AB196" s="1258"/>
      <c r="AC196" s="1258"/>
      <c r="AD196" s="1258"/>
      <c r="AE196" s="1258"/>
      <c r="AF196" s="2333">
        <v>11</v>
      </c>
    </row>
    <row s="61193" customFormat="1" customHeight="1" ht="11.549999999999999">
      <c r="A197" s="1679"/>
      <c r="B197" s="2328"/>
      <c r="C197" s="2328"/>
      <c r="D197" s="1043"/>
      <c r="K197" s="1852"/>
      <c r="L197" s="2328"/>
      <c r="M197" s="2328"/>
      <c r="N197" s="1852"/>
      <c r="O197" s="1852"/>
      <c r="P197" s="1852"/>
      <c r="Q197" s="1852"/>
      <c r="R197" s="2328"/>
      <c r="S197" s="1852"/>
      <c r="T197" s="1852"/>
      <c r="U197" s="1236"/>
      <c r="V197" s="1852"/>
      <c r="W197" s="1852"/>
      <c r="X197" s="1852"/>
      <c r="Y197" s="1852"/>
      <c r="Z197" s="1852"/>
      <c r="AA197" s="2324"/>
      <c r="AB197" s="1258"/>
      <c r="AC197" s="1258"/>
      <c r="AD197" s="1258"/>
      <c r="AE197" s="1258"/>
      <c r="AF197" s="2333">
        <v>11</v>
      </c>
    </row>
    <row s="61193" customFormat="1" customHeight="1" ht="11.549999999999999">
      <c r="A198" s="1679"/>
      <c r="B198" s="2328"/>
      <c r="C198" s="2328"/>
      <c r="D198" s="1043"/>
      <c r="K198" s="1852"/>
      <c r="L198" s="2328"/>
      <c r="M198" s="2328"/>
      <c r="N198" s="1852"/>
      <c r="O198" s="1852"/>
      <c r="P198" s="1852"/>
      <c r="Q198" s="1852"/>
      <c r="R198" s="2328"/>
      <c r="S198" s="1852"/>
      <c r="T198" s="1852"/>
      <c r="U198" s="1236"/>
      <c r="V198" s="1852"/>
      <c r="W198" s="1852"/>
      <c r="X198" s="1852"/>
      <c r="Y198" s="1852"/>
      <c r="Z198" s="1852"/>
      <c r="AA198" s="2324"/>
      <c r="AB198" s="1258"/>
      <c r="AC198" s="1258"/>
      <c r="AD198" s="1258"/>
      <c r="AE198" s="1258"/>
      <c r="AF198" s="2333">
        <v>11</v>
      </c>
    </row>
    <row s="61193" customFormat="1" customHeight="1" ht="11.549999999999999">
      <c r="A199" s="1679"/>
      <c r="B199" s="2328"/>
      <c r="C199" s="2328"/>
      <c r="D199" s="1043"/>
      <c r="K199" s="1852"/>
      <c r="L199" s="2328"/>
      <c r="M199" s="2328"/>
      <c r="N199" s="1852"/>
      <c r="O199" s="1852"/>
      <c r="P199" s="1852"/>
      <c r="Q199" s="1852"/>
      <c r="R199" s="2328"/>
      <c r="S199" s="1852"/>
      <c r="T199" s="1852"/>
      <c r="U199" s="1236"/>
      <c r="V199" s="1852"/>
      <c r="W199" s="1852"/>
      <c r="X199" s="1852"/>
      <c r="Y199" s="1852"/>
      <c r="Z199" s="1852"/>
      <c r="AA199" s="2324"/>
      <c r="AB199" s="1258"/>
      <c r="AC199" s="1258"/>
      <c r="AD199" s="1258"/>
      <c r="AE199" s="1258"/>
      <c r="AF199" s="2333">
        <v>11</v>
      </c>
    </row>
    <row s="61193" customFormat="1" customHeight="1" ht="11.549999999999999">
      <c r="A200" s="1679"/>
      <c r="B200" s="2328"/>
      <c r="C200" s="2328"/>
      <c r="D200" s="1043"/>
      <c r="K200" s="1852"/>
      <c r="L200" s="2328"/>
      <c r="M200" s="2328"/>
      <c r="N200" s="1852"/>
      <c r="O200" s="1852"/>
      <c r="P200" s="1852"/>
      <c r="Q200" s="1852"/>
      <c r="R200" s="2328"/>
      <c r="S200" s="1852"/>
      <c r="T200" s="1852"/>
      <c r="U200" s="1236"/>
      <c r="V200" s="1852"/>
      <c r="W200" s="1852"/>
      <c r="X200" s="1852"/>
      <c r="Y200" s="1852"/>
      <c r="Z200" s="1852"/>
      <c r="AA200" s="2324"/>
      <c r="AB200" s="1258"/>
      <c r="AC200" s="1258"/>
      <c r="AD200" s="1258"/>
      <c r="AE200" s="1258"/>
      <c r="AF200" s="2333">
        <v>11</v>
      </c>
    </row>
    <row s="61193" customFormat="1" customHeight="1" ht="11.549999999999999">
      <c r="A201" s="1679"/>
      <c r="B201" s="2328"/>
      <c r="C201" s="2328"/>
      <c r="D201" s="1043"/>
      <c r="K201" s="1852"/>
      <c r="L201" s="2328"/>
      <c r="M201" s="2328"/>
      <c r="N201" s="1852"/>
      <c r="O201" s="1852"/>
      <c r="P201" s="1852"/>
      <c r="Q201" s="1852"/>
      <c r="R201" s="2328"/>
      <c r="S201" s="1852"/>
      <c r="T201" s="1852"/>
      <c r="U201" s="1236"/>
      <c r="V201" s="1852"/>
      <c r="W201" s="1852"/>
      <c r="X201" s="1852"/>
      <c r="Y201" s="1852"/>
      <c r="Z201" s="1852"/>
      <c r="AA201" s="2324"/>
      <c r="AB201" s="1258"/>
      <c r="AC201" s="1258"/>
      <c r="AD201" s="1258"/>
      <c r="AE201" s="1258"/>
      <c r="AF201" s="2333">
        <v>11</v>
      </c>
    </row>
    <row s="61193" customFormat="1" customHeight="1" ht="11.549999999999999">
      <c r="A202" s="1679"/>
      <c r="B202" s="2328"/>
      <c r="C202" s="2328"/>
      <c r="D202" s="1043"/>
      <c r="K202" s="1852"/>
      <c r="L202" s="2328"/>
      <c r="M202" s="2328"/>
      <c r="N202" s="1852"/>
      <c r="O202" s="1852"/>
      <c r="P202" s="1852"/>
      <c r="Q202" s="1852"/>
      <c r="R202" s="2328"/>
      <c r="S202" s="1852"/>
      <c r="T202" s="1852"/>
      <c r="U202" s="1236"/>
      <c r="V202" s="1852"/>
      <c r="W202" s="1852"/>
      <c r="X202" s="1852"/>
      <c r="Y202" s="1852"/>
      <c r="Z202" s="1852"/>
      <c r="AA202" s="2324"/>
      <c r="AB202" s="1258"/>
      <c r="AC202" s="1258"/>
      <c r="AD202" s="1258"/>
      <c r="AE202" s="1258"/>
      <c r="AF202" s="2333">
        <v>11</v>
      </c>
    </row>
    <row s="61193" customFormat="1" customHeight="1" ht="11.549999999999999">
      <c r="A203" s="1679"/>
      <c r="B203" s="2328"/>
      <c r="C203" s="2328"/>
      <c r="D203" s="1043"/>
      <c r="K203" s="1852"/>
      <c r="L203" s="2328"/>
      <c r="M203" s="2328"/>
      <c r="N203" s="1852"/>
      <c r="O203" s="1852"/>
      <c r="P203" s="1852"/>
      <c r="Q203" s="1852"/>
      <c r="R203" s="2328"/>
      <c r="S203" s="1852"/>
      <c r="T203" s="1852"/>
      <c r="U203" s="1236"/>
      <c r="V203" s="1852"/>
      <c r="W203" s="1852"/>
      <c r="X203" s="1852"/>
      <c r="Y203" s="1852"/>
      <c r="Z203" s="1852"/>
      <c r="AA203" s="2324"/>
      <c r="AB203" s="1258"/>
      <c r="AC203" s="1258"/>
      <c r="AD203" s="1258"/>
      <c r="AE203" s="1258"/>
      <c r="AF203" s="2333">
        <v>11</v>
      </c>
    </row>
    <row s="61193" customFormat="1" customHeight="1" ht="11.549999999999999">
      <c r="A204" s="1679"/>
      <c r="B204" s="2328"/>
      <c r="C204" s="2328"/>
      <c r="D204" s="1043"/>
      <c r="K204" s="1852"/>
      <c r="L204" s="2328"/>
      <c r="M204" s="2328"/>
      <c r="N204" s="1852"/>
      <c r="O204" s="1852"/>
      <c r="P204" s="1852"/>
      <c r="Q204" s="1852"/>
      <c r="R204" s="2328"/>
      <c r="S204" s="1852"/>
      <c r="T204" s="1852"/>
      <c r="U204" s="1236"/>
      <c r="V204" s="1852"/>
      <c r="W204" s="1852"/>
      <c r="X204" s="1852"/>
      <c r="Y204" s="1852"/>
      <c r="Z204" s="1852"/>
      <c r="AA204" s="2324"/>
      <c r="AB204" s="1258"/>
      <c r="AC204" s="1258"/>
      <c r="AD204" s="1258"/>
      <c r="AE204" s="1258"/>
      <c r="AF204" s="2333">
        <v>11</v>
      </c>
    </row>
    <row s="61193" customFormat="1" customHeight="1" ht="11.549999999999999">
      <c r="A205" s="1679"/>
      <c r="B205" s="2328"/>
      <c r="C205" s="2328"/>
      <c r="D205" s="1043"/>
      <c r="K205" s="1852"/>
      <c r="L205" s="2328"/>
      <c r="M205" s="2328"/>
      <c r="N205" s="1852"/>
      <c r="O205" s="1852"/>
      <c r="P205" s="1852"/>
      <c r="Q205" s="1852"/>
      <c r="R205" s="2328"/>
      <c r="S205" s="1852"/>
      <c r="T205" s="1852"/>
      <c r="U205" s="1236"/>
      <c r="V205" s="1852"/>
      <c r="W205" s="1852"/>
      <c r="X205" s="1852"/>
      <c r="Y205" s="1852"/>
      <c r="Z205" s="1852"/>
      <c r="AA205" s="2324"/>
      <c r="AB205" s="1258"/>
      <c r="AC205" s="1258"/>
      <c r="AD205" s="1258"/>
      <c r="AE205" s="1258"/>
      <c r="AF205" s="2333">
        <v>11</v>
      </c>
    </row>
    <row s="61193" customFormat="1" customHeight="1" ht="11.549999999999999">
      <c r="A206" s="1679"/>
      <c r="B206" s="2328"/>
      <c r="C206" s="2328"/>
      <c r="D206" s="1043"/>
      <c r="K206" s="1852"/>
      <c r="L206" s="2328"/>
      <c r="M206" s="2328"/>
      <c r="N206" s="1852"/>
      <c r="O206" s="1852"/>
      <c r="P206" s="1852"/>
      <c r="Q206" s="1852"/>
      <c r="R206" s="2328"/>
      <c r="S206" s="1852"/>
      <c r="T206" s="1852"/>
      <c r="U206" s="1236"/>
      <c r="V206" s="1852"/>
      <c r="W206" s="1852"/>
      <c r="X206" s="1852"/>
      <c r="Y206" s="1852"/>
      <c r="Z206" s="1852"/>
      <c r="AA206" s="2324"/>
      <c r="AB206" s="1258"/>
      <c r="AC206" s="1258"/>
      <c r="AD206" s="1258"/>
      <c r="AE206" s="1258"/>
      <c r="AF206" s="2333">
        <v>11</v>
      </c>
    </row>
    <row s="61193" customFormat="1" customHeight="1" ht="11.549999999999999">
      <c r="A207" s="1679"/>
      <c r="B207" s="2328"/>
      <c r="C207" s="2328"/>
      <c r="D207" s="1043"/>
      <c r="K207" s="1852"/>
      <c r="L207" s="2328"/>
      <c r="M207" s="2328"/>
      <c r="N207" s="1852"/>
      <c r="O207" s="1852"/>
      <c r="P207" s="1852"/>
      <c r="Q207" s="1852"/>
      <c r="R207" s="2328"/>
      <c r="S207" s="1852"/>
      <c r="T207" s="1852"/>
      <c r="U207" s="1236"/>
      <c r="V207" s="1852"/>
      <c r="W207" s="1852"/>
      <c r="X207" s="1852"/>
      <c r="Y207" s="1852"/>
      <c r="Z207" s="1852"/>
      <c r="AA207" s="2324"/>
      <c r="AB207" s="1258"/>
      <c r="AC207" s="1258"/>
      <c r="AD207" s="1258"/>
      <c r="AE207" s="1258"/>
      <c r="AF207" s="2333">
        <v>11</v>
      </c>
    </row>
    <row s="61193" customFormat="1" customHeight="1" ht="11.549999999999999">
      <c r="A208" s="1679"/>
      <c r="B208" s="2328"/>
      <c r="C208" s="2328"/>
      <c r="D208" s="1043"/>
      <c r="K208" s="1852"/>
      <c r="L208" s="2328"/>
      <c r="M208" s="2328"/>
      <c r="N208" s="1852"/>
      <c r="O208" s="1852"/>
      <c r="P208" s="1852"/>
      <c r="Q208" s="1852"/>
      <c r="R208" s="2328"/>
      <c r="S208" s="1852"/>
      <c r="T208" s="1852"/>
      <c r="U208" s="1236"/>
      <c r="V208" s="1852"/>
      <c r="W208" s="1852"/>
      <c r="X208" s="1852"/>
      <c r="Y208" s="1852"/>
      <c r="Z208" s="1852"/>
      <c r="AA208" s="2324"/>
      <c r="AB208" s="1258"/>
      <c r="AC208" s="1258"/>
      <c r="AD208" s="1258"/>
      <c r="AE208" s="1258"/>
      <c r="AF208" s="2333">
        <v>11</v>
      </c>
    </row>
    <row s="61193" customFormat="1" customHeight="1" ht="11.549999999999999">
      <c r="A209" s="1679"/>
      <c r="B209" s="2328"/>
      <c r="C209" s="2328"/>
      <c r="D209" s="1043"/>
      <c r="K209" s="1852"/>
      <c r="L209" s="2328"/>
      <c r="M209" s="2328"/>
      <c r="N209" s="1852"/>
      <c r="O209" s="1852"/>
      <c r="P209" s="1852"/>
      <c r="Q209" s="1852"/>
      <c r="R209" s="2328"/>
      <c r="S209" s="1852"/>
      <c r="T209" s="1852"/>
      <c r="U209" s="1236"/>
      <c r="V209" s="1852"/>
      <c r="W209" s="1852"/>
      <c r="X209" s="1852"/>
      <c r="Y209" s="1852"/>
      <c r="Z209" s="1852"/>
      <c r="AA209" s="2324"/>
      <c r="AB209" s="1258"/>
      <c r="AC209" s="1258"/>
      <c r="AD209" s="1258"/>
      <c r="AE209" s="1258"/>
      <c r="AF209" s="2333">
        <v>11</v>
      </c>
    </row>
    <row s="61193" customFormat="1" customHeight="1" ht="11.549999999999999">
      <c r="A210" s="1679"/>
      <c r="B210" s="2328"/>
      <c r="C210" s="2328"/>
      <c r="D210" s="1043"/>
      <c r="K210" s="1852"/>
      <c r="L210" s="2328"/>
      <c r="M210" s="2328"/>
      <c r="N210" s="1852"/>
      <c r="O210" s="1852"/>
      <c r="P210" s="1852"/>
      <c r="Q210" s="1852"/>
      <c r="R210" s="2328"/>
      <c r="S210" s="1852"/>
      <c r="T210" s="1852"/>
      <c r="U210" s="1236"/>
      <c r="V210" s="1852"/>
      <c r="W210" s="1852"/>
      <c r="X210" s="1852"/>
      <c r="Y210" s="1852"/>
      <c r="Z210" s="1852"/>
      <c r="AA210" s="2324"/>
      <c r="AB210" s="1258"/>
      <c r="AC210" s="1258"/>
      <c r="AD210" s="1258"/>
      <c r="AE210" s="1258"/>
      <c r="AF210" s="2333">
        <v>11</v>
      </c>
    </row>
    <row s="61193" customFormat="1" customHeight="1" ht="11.549999999999999">
      <c r="A211" s="1679"/>
      <c r="B211" s="2328"/>
      <c r="C211" s="2328"/>
      <c r="D211" s="1043"/>
      <c r="K211" s="1852"/>
      <c r="L211" s="2328"/>
      <c r="M211" s="2328"/>
      <c r="N211" s="1852"/>
      <c r="O211" s="1852"/>
      <c r="P211" s="1852"/>
      <c r="Q211" s="1852"/>
      <c r="R211" s="2328"/>
      <c r="S211" s="1852"/>
      <c r="T211" s="1852"/>
      <c r="U211" s="1236"/>
      <c r="V211" s="1852"/>
      <c r="W211" s="1852"/>
      <c r="X211" s="1852"/>
      <c r="Y211" s="1852"/>
      <c r="Z211" s="1852"/>
      <c r="AA211" s="2324"/>
      <c r="AB211" s="1258"/>
      <c r="AC211" s="1258"/>
      <c r="AD211" s="1258"/>
      <c r="AE211" s="1258"/>
      <c r="AF211" s="2333">
        <v>11</v>
      </c>
    </row>
    <row s="61193" customFormat="1" customHeight="1" ht="11.549999999999999">
      <c r="A212" s="1679"/>
      <c r="B212" s="2328"/>
      <c r="C212" s="2328"/>
      <c r="D212" s="1043"/>
      <c r="K212" s="1852"/>
      <c r="L212" s="2328"/>
      <c r="M212" s="2328"/>
      <c r="N212" s="1852"/>
      <c r="O212" s="1852"/>
      <c r="P212" s="1852"/>
      <c r="Q212" s="1852"/>
      <c r="R212" s="2328"/>
      <c r="S212" s="1852"/>
      <c r="T212" s="1852"/>
      <c r="U212" s="1236"/>
      <c r="V212" s="1852"/>
      <c r="W212" s="1852"/>
      <c r="X212" s="1852"/>
      <c r="Y212" s="1852"/>
      <c r="Z212" s="1852"/>
      <c r="AA212" s="2324"/>
      <c r="AB212" s="1258"/>
      <c r="AC212" s="1258"/>
      <c r="AD212" s="1258"/>
      <c r="AE212" s="1258"/>
      <c r="AF212" s="2333">
        <v>11</v>
      </c>
    </row>
    <row s="61193" customFormat="1" customHeight="1" ht="11.549999999999999">
      <c r="A213" s="1679"/>
      <c r="B213" s="2328"/>
      <c r="C213" s="2328"/>
      <c r="D213" s="1043"/>
      <c r="K213" s="1852"/>
      <c r="L213" s="2328"/>
      <c r="M213" s="2328"/>
      <c r="N213" s="1852"/>
      <c r="O213" s="1852"/>
      <c r="P213" s="1852"/>
      <c r="Q213" s="1852"/>
      <c r="R213" s="2328"/>
      <c r="S213" s="1852"/>
      <c r="T213" s="1852"/>
      <c r="U213" s="1236"/>
      <c r="V213" s="1852"/>
      <c r="W213" s="1852"/>
      <c r="X213" s="1852"/>
      <c r="Y213" s="1852"/>
      <c r="Z213" s="1852"/>
      <c r="AA213" s="2324"/>
      <c r="AB213" s="1258"/>
      <c r="AC213" s="1258"/>
      <c r="AD213" s="1258"/>
      <c r="AE213" s="1258"/>
      <c r="AF213" s="2333">
        <v>11</v>
      </c>
    </row>
    <row s="61193" customFormat="1" customHeight="1" ht="11.549999999999999">
      <c r="A214" s="1679"/>
      <c r="B214" s="2328"/>
      <c r="C214" s="2328"/>
      <c r="D214" s="1043"/>
      <c r="K214" s="1852"/>
      <c r="L214" s="2328"/>
      <c r="M214" s="2328"/>
      <c r="N214" s="1852"/>
      <c r="O214" s="1852"/>
      <c r="P214" s="1852"/>
      <c r="Q214" s="1852"/>
      <c r="R214" s="2328"/>
      <c r="S214" s="1852"/>
      <c r="T214" s="1852"/>
      <c r="U214" s="1236"/>
      <c r="V214" s="1852"/>
      <c r="W214" s="1852"/>
      <c r="X214" s="1852"/>
      <c r="Y214" s="1852"/>
      <c r="Z214" s="1852"/>
      <c r="AA214" s="2324"/>
      <c r="AB214" s="1258"/>
      <c r="AC214" s="1258"/>
      <c r="AD214" s="1258"/>
      <c r="AE214" s="1258"/>
      <c r="AF214" s="2333">
        <v>11</v>
      </c>
    </row>
    <row s="61193" customFormat="1" customHeight="1" ht="11.549999999999999">
      <c r="A215" s="1679"/>
      <c r="B215" s="2328"/>
      <c r="C215" s="2328"/>
      <c r="D215" s="1043"/>
      <c r="K215" s="1852"/>
      <c r="L215" s="2328"/>
      <c r="M215" s="2328"/>
      <c r="N215" s="1852"/>
      <c r="O215" s="1852"/>
      <c r="P215" s="1852"/>
      <c r="Q215" s="1852"/>
      <c r="R215" s="2328"/>
      <c r="S215" s="1852"/>
      <c r="T215" s="1852"/>
      <c r="U215" s="1236"/>
      <c r="V215" s="1852"/>
      <c r="W215" s="1852"/>
      <c r="X215" s="1852"/>
      <c r="Y215" s="1852"/>
      <c r="Z215" s="1852"/>
      <c r="AA215" s="2324"/>
      <c r="AB215" s="1258"/>
      <c r="AC215" s="1258"/>
      <c r="AD215" s="1258"/>
      <c r="AE215" s="1258"/>
      <c r="AF215" s="2333">
        <v>11</v>
      </c>
    </row>
    <row s="61193" customFormat="1" customHeight="1" ht="11.549999999999999">
      <c r="A216" s="1679"/>
      <c r="B216" s="2328"/>
      <c r="C216" s="2328"/>
      <c r="D216" s="1043"/>
      <c r="K216" s="1852"/>
      <c r="L216" s="2328"/>
      <c r="M216" s="2328"/>
      <c r="N216" s="1852"/>
      <c r="O216" s="1852"/>
      <c r="P216" s="1852"/>
      <c r="Q216" s="1852"/>
      <c r="R216" s="2328"/>
      <c r="S216" s="1852"/>
      <c r="T216" s="1852"/>
      <c r="U216" s="1236"/>
      <c r="V216" s="1852"/>
      <c r="W216" s="1852"/>
      <c r="X216" s="1852"/>
      <c r="Y216" s="1852"/>
      <c r="Z216" s="1852"/>
      <c r="AA216" s="2324"/>
      <c r="AB216" s="1258"/>
      <c r="AC216" s="1258"/>
      <c r="AD216" s="1258"/>
      <c r="AE216" s="1258"/>
      <c r="AF216" s="2333">
        <v>11</v>
      </c>
    </row>
    <row s="61193" customFormat="1" customHeight="1" ht="11.549999999999999">
      <c r="A217" s="1679"/>
      <c r="B217" s="2328"/>
      <c r="C217" s="2328"/>
      <c r="D217" s="1043"/>
      <c r="K217" s="1852"/>
      <c r="L217" s="2328"/>
      <c r="M217" s="2328"/>
      <c r="N217" s="1852"/>
      <c r="O217" s="1852"/>
      <c r="P217" s="1852"/>
      <c r="Q217" s="1852"/>
      <c r="R217" s="2328"/>
      <c r="S217" s="1852"/>
      <c r="T217" s="1852"/>
      <c r="U217" s="1236"/>
      <c r="V217" s="1852"/>
      <c r="W217" s="1852"/>
      <c r="X217" s="1852"/>
      <c r="Y217" s="1852"/>
      <c r="Z217" s="1852"/>
      <c r="AA217" s="2324"/>
      <c r="AB217" s="1258"/>
      <c r="AC217" s="1258"/>
      <c r="AD217" s="1258"/>
      <c r="AE217" s="1258"/>
      <c r="AF217" s="2333">
        <v>11</v>
      </c>
    </row>
    <row s="61193" customFormat="1" customHeight="1" ht="11.549999999999999">
      <c r="A218" s="1679"/>
      <c r="B218" s="2328"/>
      <c r="C218" s="2328"/>
      <c r="D218" s="1043"/>
      <c r="K218" s="1852"/>
      <c r="L218" s="2328"/>
      <c r="M218" s="2328"/>
      <c r="N218" s="1852"/>
      <c r="O218" s="1852"/>
      <c r="P218" s="1852"/>
      <c r="Q218" s="1852"/>
      <c r="R218" s="2328"/>
      <c r="S218" s="1852"/>
      <c r="T218" s="1852"/>
      <c r="U218" s="1236"/>
      <c r="V218" s="1852"/>
      <c r="W218" s="1852"/>
      <c r="X218" s="1852"/>
      <c r="Y218" s="1852"/>
      <c r="Z218" s="1852"/>
      <c r="AA218" s="2324"/>
      <c r="AB218" s="1258"/>
      <c r="AC218" s="1258"/>
      <c r="AD218" s="1258"/>
      <c r="AE218" s="1258"/>
      <c r="AF218" s="2333">
        <v>11</v>
      </c>
    </row>
    <row s="61193" customFormat="1" customHeight="1" ht="11.549999999999999">
      <c r="A219" s="1679"/>
      <c r="B219" s="2328"/>
      <c r="C219" s="2328"/>
      <c r="D219" s="1043"/>
      <c r="K219" s="1852"/>
      <c r="L219" s="2328"/>
      <c r="M219" s="2328"/>
      <c r="N219" s="1852"/>
      <c r="O219" s="1852"/>
      <c r="P219" s="1852"/>
      <c r="Q219" s="1852"/>
      <c r="R219" s="2328"/>
      <c r="S219" s="1852"/>
      <c r="T219" s="1852"/>
      <c r="U219" s="1236"/>
      <c r="V219" s="1852"/>
      <c r="W219" s="1852"/>
      <c r="X219" s="1852"/>
      <c r="Y219" s="1852"/>
      <c r="Z219" s="1852"/>
      <c r="AA219" s="2324"/>
      <c r="AB219" s="1258"/>
      <c r="AC219" s="1258"/>
      <c r="AD219" s="1258"/>
      <c r="AE219" s="1258"/>
      <c r="AF219" s="2333">
        <v>11</v>
      </c>
    </row>
    <row s="61193" customFormat="1" customHeight="1" ht="11.549999999999999">
      <c r="A220" s="1679"/>
      <c r="B220" s="2328"/>
      <c r="C220" s="2328"/>
      <c r="D220" s="1043"/>
      <c r="K220" s="1852"/>
      <c r="L220" s="2328"/>
      <c r="M220" s="2328"/>
      <c r="N220" s="1852"/>
      <c r="O220" s="1852"/>
      <c r="P220" s="1852"/>
      <c r="Q220" s="1852"/>
      <c r="R220" s="2328"/>
      <c r="S220" s="1852"/>
      <c r="T220" s="1852"/>
      <c r="U220" s="1236"/>
      <c r="V220" s="1852"/>
      <c r="W220" s="1852"/>
      <c r="X220" s="1852"/>
      <c r="Y220" s="1852"/>
      <c r="Z220" s="1852"/>
      <c r="AA220" s="2324"/>
      <c r="AB220" s="1258"/>
      <c r="AC220" s="1258"/>
      <c r="AD220" s="1258"/>
      <c r="AE220" s="1258"/>
      <c r="AF220" s="2333">
        <v>11</v>
      </c>
    </row>
    <row s="61193" customFormat="1" customHeight="1" ht="11.549999999999999">
      <c r="A221" s="1679"/>
      <c r="B221" s="2328"/>
      <c r="C221" s="2328"/>
      <c r="D221" s="1043"/>
      <c r="K221" s="1852"/>
      <c r="L221" s="2328"/>
      <c r="M221" s="2328"/>
      <c r="N221" s="1852"/>
      <c r="O221" s="1852"/>
      <c r="P221" s="1852"/>
      <c r="Q221" s="1852"/>
      <c r="R221" s="2328"/>
      <c r="S221" s="1852"/>
      <c r="T221" s="1852"/>
      <c r="U221" s="1236"/>
      <c r="V221" s="1852"/>
      <c r="W221" s="1852"/>
      <c r="X221" s="1852"/>
      <c r="Y221" s="1852"/>
      <c r="Z221" s="1852"/>
      <c r="AA221" s="2324"/>
      <c r="AB221" s="1258"/>
      <c r="AC221" s="1258"/>
      <c r="AD221" s="1258"/>
      <c r="AE221" s="1258"/>
      <c r="AF221" s="2333">
        <v>11</v>
      </c>
    </row>
    <row s="61193" customFormat="1" customHeight="1" ht="11.549999999999999">
      <c r="A222" s="1679"/>
      <c r="B222" s="2328"/>
      <c r="C222" s="2328"/>
      <c r="D222" s="1043"/>
      <c r="K222" s="1852"/>
      <c r="L222" s="2328"/>
      <c r="M222" s="2328"/>
      <c r="N222" s="1852"/>
      <c r="O222" s="1852"/>
      <c r="P222" s="1852"/>
      <c r="Q222" s="1852"/>
      <c r="R222" s="2328"/>
      <c r="S222" s="1852"/>
      <c r="T222" s="1852"/>
      <c r="U222" s="1236"/>
      <c r="V222" s="1852"/>
      <c r="W222" s="1852"/>
      <c r="X222" s="1852"/>
      <c r="Y222" s="1852"/>
      <c r="Z222" s="1852"/>
      <c r="AA222" s="2324"/>
      <c r="AB222" s="1258"/>
      <c r="AC222" s="1258"/>
      <c r="AD222" s="1258"/>
      <c r="AE222" s="1258"/>
      <c r="AF222" s="2333">
        <v>11</v>
      </c>
    </row>
    <row s="61193" customFormat="1" customHeight="1" ht="11.549999999999999">
      <c r="A223" s="1679"/>
      <c r="B223" s="2328"/>
      <c r="C223" s="2328"/>
      <c r="D223" s="1043"/>
      <c r="K223" s="1852"/>
      <c r="L223" s="2328"/>
      <c r="M223" s="2328"/>
      <c r="N223" s="1852"/>
      <c r="O223" s="1852"/>
      <c r="P223" s="1852"/>
      <c r="Q223" s="1852"/>
      <c r="R223" s="2328"/>
      <c r="S223" s="1852"/>
      <c r="T223" s="1852"/>
      <c r="U223" s="1236"/>
      <c r="V223" s="1852"/>
      <c r="W223" s="1852"/>
      <c r="X223" s="1852"/>
      <c r="Y223" s="1852"/>
      <c r="Z223" s="1852"/>
      <c r="AA223" s="2324"/>
      <c r="AB223" s="1258"/>
      <c r="AC223" s="1258"/>
      <c r="AD223" s="1258"/>
      <c r="AE223" s="1258"/>
      <c r="AF223" s="2333">
        <v>11</v>
      </c>
    </row>
    <row s="61193" customFormat="1" customHeight="1" ht="11.549999999999999">
      <c r="A224" s="1679"/>
      <c r="B224" s="2328"/>
      <c r="C224" s="2328"/>
      <c r="D224" s="1043"/>
      <c r="K224" s="1852"/>
      <c r="L224" s="2328"/>
      <c r="M224" s="2328"/>
      <c r="N224" s="1852"/>
      <c r="O224" s="1852"/>
      <c r="P224" s="1852"/>
      <c r="Q224" s="1852"/>
      <c r="R224" s="2328"/>
      <c r="S224" s="1852"/>
      <c r="T224" s="1852"/>
      <c r="U224" s="1236"/>
      <c r="V224" s="1852"/>
      <c r="W224" s="1852"/>
      <c r="X224" s="1852"/>
      <c r="Y224" s="1852"/>
      <c r="Z224" s="1852"/>
      <c r="AA224" s="2324"/>
      <c r="AB224" s="1258"/>
      <c r="AC224" s="1258"/>
      <c r="AD224" s="1258"/>
      <c r="AE224" s="1258"/>
      <c r="AF224" s="2333">
        <v>11</v>
      </c>
    </row>
    <row s="61193" customFormat="1" customHeight="1" ht="11.549999999999999">
      <c r="A225" s="1679"/>
      <c r="B225" s="2328"/>
      <c r="C225" s="2328"/>
      <c r="D225" s="1043"/>
      <c r="K225" s="1852"/>
      <c r="L225" s="2328"/>
      <c r="M225" s="2328"/>
      <c r="N225" s="1852"/>
      <c r="O225" s="1852"/>
      <c r="P225" s="1852"/>
      <c r="Q225" s="1852"/>
      <c r="R225" s="2328"/>
      <c r="S225" s="1852"/>
      <c r="T225" s="1852"/>
      <c r="U225" s="1236"/>
      <c r="V225" s="1852"/>
      <c r="W225" s="1852"/>
      <c r="X225" s="1852"/>
      <c r="Y225" s="1852"/>
      <c r="Z225" s="1852"/>
      <c r="AA225" s="2324"/>
      <c r="AB225" s="1258"/>
      <c r="AC225" s="1258"/>
      <c r="AD225" s="1258"/>
      <c r="AE225" s="1258"/>
      <c r="AF225" s="2333">
        <v>11</v>
      </c>
    </row>
    <row s="61193" customFormat="1" customHeight="1" ht="11.549999999999999">
      <c r="A226" s="1679"/>
      <c r="B226" s="2328"/>
      <c r="C226" s="2328"/>
      <c r="D226" s="1043"/>
      <c r="K226" s="1852"/>
      <c r="L226" s="2328"/>
      <c r="M226" s="2328"/>
      <c r="N226" s="1852"/>
      <c r="O226" s="1852"/>
      <c r="P226" s="1852"/>
      <c r="Q226" s="1852"/>
      <c r="R226" s="2328"/>
      <c r="S226" s="1852"/>
      <c r="T226" s="1852"/>
      <c r="U226" s="1236"/>
      <c r="V226" s="1852"/>
      <c r="W226" s="1852"/>
      <c r="X226" s="1852"/>
      <c r="Y226" s="1852"/>
      <c r="Z226" s="1852"/>
      <c r="AA226" s="2324"/>
      <c r="AB226" s="1258"/>
      <c r="AC226" s="1258"/>
      <c r="AD226" s="1258"/>
      <c r="AE226" s="1258"/>
      <c r="AF226" s="2333">
        <v>11</v>
      </c>
    </row>
    <row s="61193" customFormat="1" customHeight="1" ht="11.549999999999999">
      <c r="A227" s="1679"/>
      <c r="B227" s="2328"/>
      <c r="C227" s="2328"/>
      <c r="D227" s="1043"/>
      <c r="K227" s="1852"/>
      <c r="L227" s="2328"/>
      <c r="M227" s="2328"/>
      <c r="N227" s="1852"/>
      <c r="O227" s="1852"/>
      <c r="P227" s="1852"/>
      <c r="Q227" s="1852"/>
      <c r="R227" s="2328"/>
      <c r="S227" s="1852"/>
      <c r="T227" s="1852"/>
      <c r="U227" s="1236"/>
      <c r="V227" s="1852"/>
      <c r="W227" s="1852"/>
      <c r="X227" s="1852"/>
      <c r="Y227" s="1852"/>
      <c r="Z227" s="1852"/>
      <c r="AA227" s="2324"/>
      <c r="AB227" s="1258"/>
      <c r="AC227" s="1258"/>
      <c r="AD227" s="1258"/>
      <c r="AE227" s="1258"/>
      <c r="AF227" s="2333">
        <v>11</v>
      </c>
    </row>
    <row s="61193" customFormat="1" customHeight="1" ht="11.549999999999999">
      <c r="A228" s="1679"/>
      <c r="B228" s="2328"/>
      <c r="C228" s="2328"/>
      <c r="D228" s="1043"/>
      <c r="K228" s="1852"/>
      <c r="L228" s="2328"/>
      <c r="M228" s="2328"/>
      <c r="N228" s="1852"/>
      <c r="O228" s="1852"/>
      <c r="P228" s="1852"/>
      <c r="Q228" s="1852"/>
      <c r="R228" s="2328"/>
      <c r="S228" s="1852"/>
      <c r="T228" s="1852"/>
      <c r="U228" s="1236"/>
      <c r="V228" s="1852"/>
      <c r="W228" s="1852"/>
      <c r="X228" s="1852"/>
      <c r="Y228" s="1852"/>
      <c r="Z228" s="1852"/>
      <c r="AA228" s="2324"/>
      <c r="AB228" s="1258"/>
      <c r="AC228" s="1258"/>
      <c r="AD228" s="1258"/>
      <c r="AE228" s="1258"/>
      <c r="AF228" s="2333">
        <v>11</v>
      </c>
    </row>
    <row s="61193" customFormat="1" customHeight="1" ht="11.549999999999999">
      <c r="A229" s="1679"/>
      <c r="B229" s="2328"/>
      <c r="C229" s="2328"/>
      <c r="D229" s="1043"/>
      <c r="K229" s="1852"/>
      <c r="L229" s="2328"/>
      <c r="M229" s="2328"/>
      <c r="N229" s="1852"/>
      <c r="O229" s="1852"/>
      <c r="P229" s="1852"/>
      <c r="Q229" s="1852"/>
      <c r="R229" s="2328"/>
      <c r="S229" s="1852"/>
      <c r="T229" s="1852"/>
      <c r="U229" s="1236"/>
      <c r="V229" s="1852"/>
      <c r="W229" s="1852"/>
      <c r="X229" s="1852"/>
      <c r="Y229" s="1852"/>
      <c r="Z229" s="1852"/>
      <c r="AA229" s="2324"/>
      <c r="AB229" s="1258"/>
      <c r="AC229" s="1258"/>
      <c r="AD229" s="1258"/>
      <c r="AE229" s="1258"/>
      <c r="AF229" s="2333">
        <v>11</v>
      </c>
    </row>
    <row s="61193" customFormat="1" customHeight="1" ht="11.549999999999999">
      <c r="A230" s="1679"/>
      <c r="B230" s="2328"/>
      <c r="C230" s="2328"/>
      <c r="D230" s="1043"/>
      <c r="K230" s="1852"/>
      <c r="L230" s="2328"/>
      <c r="M230" s="2328"/>
      <c r="N230" s="1852"/>
      <c r="O230" s="1852"/>
      <c r="P230" s="1852"/>
      <c r="Q230" s="1852"/>
      <c r="R230" s="2328"/>
      <c r="S230" s="1852"/>
      <c r="T230" s="1852"/>
      <c r="U230" s="1236"/>
      <c r="V230" s="1852"/>
      <c r="W230" s="1852"/>
      <c r="X230" s="1852"/>
      <c r="Y230" s="1852"/>
      <c r="Z230" s="1852"/>
      <c r="AA230" s="2324"/>
      <c r="AB230" s="1258"/>
      <c r="AC230" s="1258"/>
      <c r="AD230" s="1258"/>
      <c r="AE230" s="1258"/>
      <c r="AF230" s="2333">
        <v>11</v>
      </c>
    </row>
    <row s="61193" customFormat="1" customHeight="1" ht="11.549999999999999">
      <c r="A231" s="1679"/>
      <c r="B231" s="2328"/>
      <c r="C231" s="2328"/>
      <c r="D231" s="1043"/>
      <c r="K231" s="1852"/>
      <c r="L231" s="2328"/>
      <c r="M231" s="2328"/>
      <c r="N231" s="1852"/>
      <c r="O231" s="1852"/>
      <c r="P231" s="1852"/>
      <c r="Q231" s="1852"/>
      <c r="R231" s="2328"/>
      <c r="S231" s="1852"/>
      <c r="T231" s="1852"/>
      <c r="U231" s="1236"/>
      <c r="V231" s="1852"/>
      <c r="W231" s="1852"/>
      <c r="X231" s="1852"/>
      <c r="Y231" s="1852"/>
      <c r="Z231" s="1852"/>
      <c r="AA231" s="2324"/>
      <c r="AB231" s="1258"/>
      <c r="AC231" s="1258"/>
      <c r="AD231" s="1258"/>
      <c r="AE231" s="1258"/>
      <c r="AF231" s="2333">
        <v>11</v>
      </c>
    </row>
    <row s="61193" customFormat="1" customHeight="1" ht="11.549999999999999">
      <c r="A232" s="1679"/>
      <c r="B232" s="2328"/>
      <c r="C232" s="2328"/>
      <c r="D232" s="1043"/>
      <c r="K232" s="1852"/>
      <c r="L232" s="2328"/>
      <c r="M232" s="2328"/>
      <c r="N232" s="1852"/>
      <c r="O232" s="1852"/>
      <c r="P232" s="1852"/>
      <c r="Q232" s="1852"/>
      <c r="R232" s="2328"/>
      <c r="S232" s="1852"/>
      <c r="T232" s="1852"/>
      <c r="U232" s="1236"/>
      <c r="V232" s="1852"/>
      <c r="W232" s="1852"/>
      <c r="X232" s="1852"/>
      <c r="Y232" s="1852"/>
      <c r="Z232" s="1852"/>
      <c r="AA232" s="2324"/>
      <c r="AB232" s="1258"/>
      <c r="AC232" s="1258"/>
      <c r="AD232" s="1258"/>
      <c r="AE232" s="1258"/>
      <c r="AF232" s="2333">
        <v>11</v>
      </c>
    </row>
    <row s="61193" customFormat="1" customHeight="1" ht="11.549999999999999">
      <c r="A233" s="1679"/>
      <c r="B233" s="2328"/>
      <c r="C233" s="2328"/>
      <c r="D233" s="1043"/>
      <c r="K233" s="1852"/>
      <c r="L233" s="2328"/>
      <c r="M233" s="2328"/>
      <c r="N233" s="1852"/>
      <c r="O233" s="1852"/>
      <c r="P233" s="1852"/>
      <c r="Q233" s="1852"/>
      <c r="R233" s="2328"/>
      <c r="S233" s="1852"/>
      <c r="T233" s="1852"/>
      <c r="U233" s="1236"/>
      <c r="V233" s="1852"/>
      <c r="W233" s="1852"/>
      <c r="X233" s="1852"/>
      <c r="Y233" s="1852"/>
      <c r="Z233" s="1852"/>
      <c r="AA233" s="2324"/>
      <c r="AB233" s="1258"/>
      <c r="AC233" s="1258"/>
      <c r="AD233" s="1258"/>
      <c r="AE233" s="1258"/>
      <c r="AF233" s="2333">
        <v>11</v>
      </c>
    </row>
    <row s="61193" customFormat="1" customHeight="1" ht="11.549999999999999">
      <c r="A234" s="1679"/>
      <c r="B234" s="2328"/>
      <c r="C234" s="2328"/>
      <c r="D234" s="1043"/>
      <c r="K234" s="1852"/>
      <c r="L234" s="2328"/>
      <c r="M234" s="2328"/>
      <c r="N234" s="1852"/>
      <c r="O234" s="1852"/>
      <c r="P234" s="1852"/>
      <c r="Q234" s="1852"/>
      <c r="R234" s="2328"/>
      <c r="S234" s="1852"/>
      <c r="T234" s="1852"/>
      <c r="U234" s="1236"/>
      <c r="V234" s="1852"/>
      <c r="W234" s="1852"/>
      <c r="X234" s="1852"/>
      <c r="Y234" s="1852"/>
      <c r="Z234" s="1852"/>
      <c r="AA234" s="2324"/>
      <c r="AB234" s="1258"/>
      <c r="AC234" s="1258"/>
      <c r="AD234" s="1258"/>
      <c r="AE234" s="1258"/>
      <c r="AF234" s="2333">
        <v>11</v>
      </c>
    </row>
    <row s="61193" customFormat="1" customHeight="1" ht="11.549999999999999">
      <c r="A235" s="1679"/>
      <c r="B235" s="2328"/>
      <c r="C235" s="2328"/>
      <c r="D235" s="1043"/>
      <c r="K235" s="1852"/>
      <c r="L235" s="2328"/>
      <c r="M235" s="2328"/>
      <c r="N235" s="1852"/>
      <c r="O235" s="1852"/>
      <c r="P235" s="1852"/>
      <c r="Q235" s="1852"/>
      <c r="R235" s="2328"/>
      <c r="S235" s="1852"/>
      <c r="T235" s="1852"/>
      <c r="U235" s="1236"/>
      <c r="V235" s="1852"/>
      <c r="W235" s="1852"/>
      <c r="X235" s="1852"/>
      <c r="Y235" s="1852"/>
      <c r="Z235" s="1852"/>
      <c r="AA235" s="2324"/>
      <c r="AB235" s="1258"/>
      <c r="AC235" s="1258"/>
      <c r="AD235" s="1258"/>
      <c r="AE235" s="1258"/>
      <c r="AF235" s="2333">
        <v>11</v>
      </c>
    </row>
    <row s="61193" customFormat="1" customHeight="1" ht="11.549999999999999">
      <c r="A236" s="1679"/>
      <c r="B236" s="2328"/>
      <c r="C236" s="2328"/>
      <c r="D236" s="1043"/>
      <c r="K236" s="1852"/>
      <c r="L236" s="2328"/>
      <c r="M236" s="2328"/>
      <c r="N236" s="1852"/>
      <c r="O236" s="1852"/>
      <c r="P236" s="1852"/>
      <c r="Q236" s="1852"/>
      <c r="R236" s="2328"/>
      <c r="S236" s="1852"/>
      <c r="T236" s="1852"/>
      <c r="U236" s="1236"/>
      <c r="V236" s="1852"/>
      <c r="W236" s="1852"/>
      <c r="X236" s="1852"/>
      <c r="Y236" s="1852"/>
      <c r="Z236" s="1852"/>
      <c r="AA236" s="2324"/>
      <c r="AB236" s="1258"/>
      <c r="AC236" s="1258"/>
      <c r="AD236" s="1258"/>
      <c r="AE236" s="1258"/>
      <c r="AF236" s="2333">
        <v>11</v>
      </c>
    </row>
    <row s="61193" customFormat="1" customHeight="1" ht="11.549999999999999">
      <c r="A237" s="1679"/>
      <c r="B237" s="2328"/>
      <c r="C237" s="2328"/>
      <c r="D237" s="1043"/>
      <c r="K237" s="1852"/>
      <c r="L237" s="2328"/>
      <c r="M237" s="2328"/>
      <c r="N237" s="1852"/>
      <c r="O237" s="1852"/>
      <c r="P237" s="1852"/>
      <c r="Q237" s="1852"/>
      <c r="R237" s="2328"/>
      <c r="S237" s="1852"/>
      <c r="T237" s="1852"/>
      <c r="U237" s="1236"/>
      <c r="V237" s="1852"/>
      <c r="W237" s="1852"/>
      <c r="X237" s="1852"/>
      <c r="Y237" s="1852"/>
      <c r="Z237" s="1852"/>
      <c r="AA237" s="2324"/>
      <c r="AB237" s="1258"/>
      <c r="AC237" s="1258"/>
      <c r="AD237" s="1258"/>
      <c r="AE237" s="1258"/>
      <c r="AF237" s="2333">
        <v>11</v>
      </c>
    </row>
    <row s="61193" customFormat="1" customHeight="1" ht="11.549999999999999">
      <c r="A238" s="1679"/>
      <c r="B238" s="2328"/>
      <c r="C238" s="2328"/>
      <c r="D238" s="1043"/>
      <c r="K238" s="1852"/>
      <c r="L238" s="2328"/>
      <c r="M238" s="2328"/>
      <c r="N238" s="1852"/>
      <c r="O238" s="1852"/>
      <c r="P238" s="1852"/>
      <c r="Q238" s="1852"/>
      <c r="R238" s="2328"/>
      <c r="S238" s="1852"/>
      <c r="T238" s="1852"/>
      <c r="U238" s="1236"/>
      <c r="V238" s="1852"/>
      <c r="W238" s="1852"/>
      <c r="X238" s="1852"/>
      <c r="Y238" s="1852"/>
      <c r="Z238" s="1852"/>
      <c r="AA238" s="2324"/>
      <c r="AB238" s="1258"/>
      <c r="AC238" s="1258"/>
      <c r="AD238" s="1258"/>
      <c r="AE238" s="1258"/>
      <c r="AF238" s="2333">
        <v>11</v>
      </c>
    </row>
    <row s="61193" customFormat="1" customHeight="1" ht="11.549999999999999">
      <c r="A239" s="1679"/>
      <c r="B239" s="2328"/>
      <c r="C239" s="2328"/>
      <c r="D239" s="1043"/>
      <c r="K239" s="1852"/>
      <c r="L239" s="2328"/>
      <c r="M239" s="2328"/>
      <c r="N239" s="1852"/>
      <c r="O239" s="1852"/>
      <c r="P239" s="1852"/>
      <c r="Q239" s="1852"/>
      <c r="R239" s="2328"/>
      <c r="S239" s="1852"/>
      <c r="T239" s="1852"/>
      <c r="U239" s="1236"/>
      <c r="V239" s="1852"/>
      <c r="W239" s="1852"/>
      <c r="X239" s="1852"/>
      <c r="Y239" s="1852"/>
      <c r="Z239" s="1852"/>
      <c r="AA239" s="2324"/>
      <c r="AB239" s="1258"/>
      <c r="AC239" s="1258"/>
      <c r="AD239" s="1258"/>
      <c r="AE239" s="1258"/>
      <c r="AF239" s="2333">
        <v>11</v>
      </c>
    </row>
    <row s="61193" customFormat="1" customHeight="1" ht="11.549999999999999">
      <c r="A240" s="1679"/>
      <c r="B240" s="2328"/>
      <c r="C240" s="2328"/>
      <c r="D240" s="1043"/>
      <c r="K240" s="1852"/>
      <c r="L240" s="2328"/>
      <c r="M240" s="2328"/>
      <c r="N240" s="1852"/>
      <c r="O240" s="1852"/>
      <c r="P240" s="1852"/>
      <c r="Q240" s="1852"/>
      <c r="R240" s="2328"/>
      <c r="S240" s="1852"/>
      <c r="T240" s="1852"/>
      <c r="U240" s="1236"/>
      <c r="V240" s="1852"/>
      <c r="W240" s="1852"/>
      <c r="X240" s="1852"/>
      <c r="Y240" s="1852"/>
      <c r="Z240" s="1852"/>
      <c r="AA240" s="2324"/>
      <c r="AB240" s="1258"/>
      <c r="AC240" s="1258"/>
      <c r="AD240" s="1258"/>
      <c r="AE240" s="1258"/>
      <c r="AF240" s="2333">
        <v>11</v>
      </c>
    </row>
    <row s="61193" customFormat="1" customHeight="1" ht="11.549999999999999">
      <c r="A241" s="1679"/>
      <c r="B241" s="2328"/>
      <c r="C241" s="2328"/>
      <c r="D241" s="1043"/>
      <c r="K241" s="1852"/>
      <c r="L241" s="2328"/>
      <c r="M241" s="2328"/>
      <c r="N241" s="1852"/>
      <c r="O241" s="1852"/>
      <c r="P241" s="1852"/>
      <c r="Q241" s="1852"/>
      <c r="R241" s="2328"/>
      <c r="S241" s="1852"/>
      <c r="T241" s="1852"/>
      <c r="U241" s="1236"/>
      <c r="V241" s="1852"/>
      <c r="W241" s="1852"/>
      <c r="X241" s="1852"/>
      <c r="Y241" s="1852"/>
      <c r="Z241" s="1852"/>
      <c r="AA241" s="2324"/>
      <c r="AB241" s="1258"/>
      <c r="AC241" s="1258"/>
      <c r="AD241" s="1258"/>
      <c r="AE241" s="1258"/>
      <c r="AF241" s="2333">
        <v>11</v>
      </c>
    </row>
    <row s="61193" customFormat="1" customHeight="1" ht="11.549999999999999">
      <c r="A242" s="1679"/>
      <c r="B242" s="2328"/>
      <c r="C242" s="2328"/>
      <c r="D242" s="1043"/>
      <c r="K242" s="1852"/>
      <c r="L242" s="2328"/>
      <c r="M242" s="2328"/>
      <c r="N242" s="1852"/>
      <c r="O242" s="1852"/>
      <c r="P242" s="1852"/>
      <c r="Q242" s="1852"/>
      <c r="R242" s="2328"/>
      <c r="S242" s="1852"/>
      <c r="T242" s="1852"/>
      <c r="U242" s="1236"/>
      <c r="V242" s="1852"/>
      <c r="W242" s="1852"/>
      <c r="X242" s="1852"/>
      <c r="Y242" s="1852"/>
      <c r="Z242" s="1852"/>
      <c r="AA242" s="2324"/>
      <c r="AB242" s="1258"/>
      <c r="AC242" s="1258"/>
      <c r="AD242" s="1258"/>
      <c r="AE242" s="1258"/>
      <c r="AF242" s="2333">
        <v>11</v>
      </c>
    </row>
    <row s="61193" customFormat="1" customHeight="1" ht="11.549999999999999">
      <c r="A243" s="1679"/>
      <c r="B243" s="2328"/>
      <c r="C243" s="2328"/>
      <c r="D243" s="1043"/>
      <c r="K243" s="1852"/>
      <c r="L243" s="2328"/>
      <c r="M243" s="2328"/>
      <c r="N243" s="1852"/>
      <c r="O243" s="1852"/>
      <c r="P243" s="1852"/>
      <c r="Q243" s="1852"/>
      <c r="R243" s="2328"/>
      <c r="S243" s="1852"/>
      <c r="T243" s="1852"/>
      <c r="U243" s="1236"/>
      <c r="V243" s="1852"/>
      <c r="W243" s="1852"/>
      <c r="X243" s="1852"/>
      <c r="Y243" s="1852"/>
      <c r="Z243" s="1852"/>
      <c r="AA243" s="2324"/>
      <c r="AB243" s="1258"/>
      <c r="AC243" s="1258"/>
      <c r="AD243" s="1258"/>
      <c r="AE243" s="1258"/>
      <c r="AF243" s="2333">
        <v>11</v>
      </c>
    </row>
    <row s="61193" customFormat="1" customHeight="1" ht="11.549999999999999">
      <c r="A244" s="1679"/>
      <c r="B244" s="2328"/>
      <c r="C244" s="2328"/>
      <c r="D244" s="1043"/>
      <c r="K244" s="1852"/>
      <c r="L244" s="2328"/>
      <c r="M244" s="2328"/>
      <c r="N244" s="1852"/>
      <c r="O244" s="1852"/>
      <c r="P244" s="1852"/>
      <c r="Q244" s="1852"/>
      <c r="R244" s="2328"/>
      <c r="S244" s="1852"/>
      <c r="T244" s="1852"/>
      <c r="U244" s="1236"/>
      <c r="V244" s="1852"/>
      <c r="W244" s="1852"/>
      <c r="X244" s="1852"/>
      <c r="Y244" s="1852"/>
      <c r="Z244" s="1852"/>
      <c r="AA244" s="2324"/>
      <c r="AB244" s="1258"/>
      <c r="AC244" s="1258"/>
      <c r="AD244" s="1258"/>
      <c r="AE244" s="1258"/>
      <c r="AF244" s="2333">
        <v>11</v>
      </c>
    </row>
    <row s="61193" customFormat="1" customHeight="1" ht="11.549999999999999">
      <c r="A245" s="1679"/>
      <c r="B245" s="2328"/>
      <c r="C245" s="2328"/>
      <c r="D245" s="1043"/>
      <c r="K245" s="1852"/>
      <c r="L245" s="2328"/>
      <c r="M245" s="2328"/>
      <c r="N245" s="1852"/>
      <c r="O245" s="1852"/>
      <c r="P245" s="1852"/>
      <c r="Q245" s="1852"/>
      <c r="R245" s="2328"/>
      <c r="S245" s="1852"/>
      <c r="T245" s="1852"/>
      <c r="U245" s="1236"/>
      <c r="V245" s="1852"/>
      <c r="W245" s="1852"/>
      <c r="X245" s="1852"/>
      <c r="Y245" s="1852"/>
      <c r="Z245" s="1852"/>
      <c r="AA245" s="2324"/>
      <c r="AB245" s="1258"/>
      <c r="AC245" s="1258"/>
      <c r="AD245" s="1258"/>
      <c r="AE245" s="1258"/>
      <c r="AF245" s="2333">
        <v>11</v>
      </c>
    </row>
    <row s="61193" customFormat="1" customHeight="1" ht="11.549999999999999">
      <c r="A246" s="1679"/>
      <c r="B246" s="2328"/>
      <c r="C246" s="2328"/>
      <c r="D246" s="1043"/>
      <c r="K246" s="1852"/>
      <c r="L246" s="2328"/>
      <c r="M246" s="2328"/>
      <c r="N246" s="1852"/>
      <c r="O246" s="1852"/>
      <c r="P246" s="1852"/>
      <c r="Q246" s="1852"/>
      <c r="R246" s="2328"/>
      <c r="S246" s="1852"/>
      <c r="T246" s="1852"/>
      <c r="U246" s="1236"/>
      <c r="V246" s="1852"/>
      <c r="W246" s="1852"/>
      <c r="X246" s="1852"/>
      <c r="Y246" s="1852"/>
      <c r="Z246" s="1852"/>
      <c r="AA246" s="2324"/>
      <c r="AB246" s="1258"/>
      <c r="AC246" s="1258"/>
      <c r="AD246" s="1258"/>
      <c r="AE246" s="1258"/>
      <c r="AF246" s="2333">
        <v>11</v>
      </c>
    </row>
    <row s="61193" customFormat="1" customHeight="1" ht="11.549999999999999">
      <c r="A247" s="1679"/>
      <c r="B247" s="2328"/>
      <c r="C247" s="2328"/>
      <c r="D247" s="1043"/>
      <c r="K247" s="1852"/>
      <c r="L247" s="2328"/>
      <c r="M247" s="2328"/>
      <c r="N247" s="1852"/>
      <c r="O247" s="1852"/>
      <c r="P247" s="1852"/>
      <c r="Q247" s="1852"/>
      <c r="R247" s="2328"/>
      <c r="S247" s="1852"/>
      <c r="T247" s="1852"/>
      <c r="U247" s="1236"/>
      <c r="V247" s="1852"/>
      <c r="W247" s="1852"/>
      <c r="X247" s="1852"/>
      <c r="Y247" s="1852"/>
      <c r="Z247" s="1852"/>
      <c r="AA247" s="2324"/>
      <c r="AB247" s="1258"/>
      <c r="AC247" s="1258"/>
      <c r="AD247" s="1258"/>
      <c r="AE247" s="1258"/>
      <c r="AF247" s="2333">
        <v>11</v>
      </c>
    </row>
    <row s="61193" customFormat="1" customHeight="1" ht="11.549999999999999">
      <c r="A248" s="1679"/>
      <c r="B248" s="2328"/>
      <c r="C248" s="2328"/>
      <c r="D248" s="1043"/>
      <c r="K248" s="1852"/>
      <c r="L248" s="2328"/>
      <c r="M248" s="2328"/>
      <c r="N248" s="1852"/>
      <c r="O248" s="1852"/>
      <c r="P248" s="1852"/>
      <c r="Q248" s="1852"/>
      <c r="R248" s="2328"/>
      <c r="S248" s="1852"/>
      <c r="T248" s="1852"/>
      <c r="U248" s="1236"/>
      <c r="V248" s="1852"/>
      <c r="W248" s="1852"/>
      <c r="X248" s="1852"/>
      <c r="Y248" s="1852"/>
      <c r="Z248" s="1852"/>
      <c r="AA248" s="2324"/>
      <c r="AB248" s="1258"/>
      <c r="AC248" s="1258"/>
      <c r="AD248" s="1258"/>
      <c r="AE248" s="1258"/>
      <c r="AF248" s="2333">
        <v>11</v>
      </c>
    </row>
    <row s="61193" customFormat="1" customHeight="1" ht="11.549999999999999">
      <c r="A249" s="1679"/>
      <c r="B249" s="2328"/>
      <c r="C249" s="2328"/>
      <c r="D249" s="1043"/>
      <c r="K249" s="1852"/>
      <c r="L249" s="2328"/>
      <c r="M249" s="2328"/>
      <c r="N249" s="1852"/>
      <c r="O249" s="1852"/>
      <c r="P249" s="1852"/>
      <c r="Q249" s="1852"/>
      <c r="R249" s="2328"/>
      <c r="S249" s="1852"/>
      <c r="T249" s="1852"/>
      <c r="U249" s="1236"/>
      <c r="V249" s="1852"/>
      <c r="W249" s="1852"/>
      <c r="X249" s="1852"/>
      <c r="Y249" s="1852"/>
      <c r="Z249" s="1852"/>
      <c r="AA249" s="2324"/>
      <c r="AB249" s="1258"/>
      <c r="AC249" s="1258"/>
      <c r="AD249" s="1258"/>
      <c r="AE249" s="1258"/>
      <c r="AF249" s="2333">
        <v>11</v>
      </c>
    </row>
    <row s="61193" customFormat="1" customHeight="1" ht="11.549999999999999">
      <c r="A250" s="1679"/>
      <c r="B250" s="2328"/>
      <c r="C250" s="2328"/>
      <c r="D250" s="1043"/>
      <c r="K250" s="1852"/>
      <c r="L250" s="2328"/>
      <c r="M250" s="2328"/>
      <c r="N250" s="1852"/>
      <c r="O250" s="1852"/>
      <c r="P250" s="1852"/>
      <c r="Q250" s="1852"/>
      <c r="R250" s="2328"/>
      <c r="S250" s="1852"/>
      <c r="T250" s="1852"/>
      <c r="U250" s="1236"/>
      <c r="V250" s="1852"/>
      <c r="W250" s="1852"/>
      <c r="X250" s="1852"/>
      <c r="Y250" s="1852"/>
      <c r="Z250" s="1852"/>
      <c r="AA250" s="2324"/>
      <c r="AB250" s="1258"/>
      <c r="AC250" s="1258"/>
      <c r="AD250" s="1258"/>
      <c r="AE250" s="1258"/>
      <c r="AF250" s="2333">
        <v>11</v>
      </c>
    </row>
    <row s="61193" customFormat="1" customHeight="1" ht="11.549999999999999">
      <c r="A251" s="1679"/>
      <c r="B251" s="2328"/>
      <c r="C251" s="2328"/>
      <c r="D251" s="1043"/>
      <c r="K251" s="1852"/>
      <c r="L251" s="2328"/>
      <c r="M251" s="2328"/>
      <c r="N251" s="1852"/>
      <c r="O251" s="1852"/>
      <c r="P251" s="1852"/>
      <c r="Q251" s="1852"/>
      <c r="R251" s="2328"/>
      <c r="S251" s="1852"/>
      <c r="T251" s="1852"/>
      <c r="U251" s="1236"/>
      <c r="V251" s="1852"/>
      <c r="W251" s="1852"/>
      <c r="X251" s="1852"/>
      <c r="Y251" s="1852"/>
      <c r="Z251" s="1852"/>
      <c r="AA251" s="2324"/>
      <c r="AB251" s="1258"/>
      <c r="AC251" s="1258"/>
      <c r="AD251" s="1258"/>
      <c r="AE251" s="1258"/>
      <c r="AF251" s="2333">
        <v>11</v>
      </c>
    </row>
    <row s="61193" customFormat="1" customHeight="1" ht="11.549999999999999">
      <c r="A252" s="1679"/>
      <c r="B252" s="2328"/>
      <c r="C252" s="2328"/>
      <c r="D252" s="1043"/>
      <c r="K252" s="1852"/>
      <c r="L252" s="2328"/>
      <c r="M252" s="2328"/>
      <c r="N252" s="1852"/>
      <c r="O252" s="1852"/>
      <c r="P252" s="1852"/>
      <c r="Q252" s="1852"/>
      <c r="R252" s="2328"/>
      <c r="S252" s="1852"/>
      <c r="T252" s="1852"/>
      <c r="U252" s="1236"/>
      <c r="V252" s="1852"/>
      <c r="W252" s="1852"/>
      <c r="X252" s="1852"/>
      <c r="Y252" s="1852"/>
      <c r="Z252" s="1852"/>
      <c r="AA252" s="2324"/>
      <c r="AB252" s="1258"/>
      <c r="AC252" s="1258"/>
      <c r="AD252" s="1258"/>
      <c r="AE252" s="1258"/>
      <c r="AF252" s="2333">
        <v>11</v>
      </c>
    </row>
    <row s="61193" customFormat="1" customHeight="1" ht="11.549999999999999">
      <c r="A253" s="1679"/>
      <c r="B253" s="2328"/>
      <c r="C253" s="2328"/>
      <c r="D253" s="1043"/>
      <c r="K253" s="1852"/>
      <c r="L253" s="2328"/>
      <c r="M253" s="2328"/>
      <c r="N253" s="1852"/>
      <c r="O253" s="1852"/>
      <c r="P253" s="1852"/>
      <c r="Q253" s="1852"/>
      <c r="R253" s="2328"/>
      <c r="S253" s="1852"/>
      <c r="T253" s="1852"/>
      <c r="U253" s="1236"/>
      <c r="V253" s="1852"/>
      <c r="W253" s="1852"/>
      <c r="X253" s="1852"/>
      <c r="Y253" s="1852"/>
      <c r="Z253" s="1852"/>
      <c r="AA253" s="2324"/>
      <c r="AB253" s="1258"/>
      <c r="AC253" s="1258"/>
      <c r="AD253" s="1258"/>
      <c r="AE253" s="1258"/>
      <c r="AF253" s="2333">
        <v>11</v>
      </c>
    </row>
    <row s="61193" customFormat="1" customHeight="1" ht="11.549999999999999">
      <c r="A254" s="1679"/>
      <c r="B254" s="2328"/>
      <c r="C254" s="2328"/>
      <c r="D254" s="1043"/>
      <c r="K254" s="1852"/>
      <c r="L254" s="2328"/>
      <c r="M254" s="2328"/>
      <c r="N254" s="1852"/>
      <c r="O254" s="1852"/>
      <c r="P254" s="1852"/>
      <c r="Q254" s="1852"/>
      <c r="R254" s="2328"/>
      <c r="S254" s="1852"/>
      <c r="T254" s="1852"/>
      <c r="U254" s="1236"/>
      <c r="V254" s="1852"/>
      <c r="W254" s="1852"/>
      <c r="X254" s="1852"/>
      <c r="Y254" s="1852"/>
      <c r="Z254" s="1852"/>
      <c r="AA254" s="2324"/>
      <c r="AB254" s="1258"/>
      <c r="AC254" s="1258"/>
      <c r="AD254" s="1258"/>
      <c r="AE254" s="1258"/>
      <c r="AF254" s="2333">
        <v>11</v>
      </c>
    </row>
    <row s="61193" customFormat="1" customHeight="1" ht="11.549999999999999">
      <c r="A255" s="1679"/>
      <c r="B255" s="2328"/>
      <c r="C255" s="2328"/>
      <c r="D255" s="1043"/>
      <c r="K255" s="1852"/>
      <c r="L255" s="2328"/>
      <c r="M255" s="2328"/>
      <c r="N255" s="1852"/>
      <c r="O255" s="1852"/>
      <c r="P255" s="1852"/>
      <c r="Q255" s="1852"/>
      <c r="R255" s="2328"/>
      <c r="S255" s="1852"/>
      <c r="T255" s="1852"/>
      <c r="U255" s="1236"/>
      <c r="V255" s="1852"/>
      <c r="W255" s="1852"/>
      <c r="X255" s="1852"/>
      <c r="Y255" s="1852"/>
      <c r="Z255" s="1852"/>
      <c r="AA255" s="2324"/>
      <c r="AB255" s="1258"/>
      <c r="AC255" s="1258"/>
      <c r="AD255" s="1258"/>
      <c r="AE255" s="1258"/>
      <c r="AF255" s="2333">
        <v>11</v>
      </c>
    </row>
    <row s="61193" customFormat="1" customHeight="1" ht="11.549999999999999">
      <c r="A256" s="1679"/>
      <c r="B256" s="2328"/>
      <c r="C256" s="2328"/>
      <c r="D256" s="1043"/>
      <c r="K256" s="1852"/>
      <c r="L256" s="2328"/>
      <c r="M256" s="2328"/>
      <c r="N256" s="1852"/>
      <c r="O256" s="1852"/>
      <c r="P256" s="1852"/>
      <c r="Q256" s="1852"/>
      <c r="R256" s="2328"/>
      <c r="S256" s="1852"/>
      <c r="T256" s="1852"/>
      <c r="U256" s="1236"/>
      <c r="V256" s="1852"/>
      <c r="W256" s="1852"/>
      <c r="X256" s="1852"/>
      <c r="Y256" s="1852"/>
      <c r="Z256" s="1852"/>
      <c r="AA256" s="2324"/>
      <c r="AB256" s="1258"/>
      <c r="AC256" s="1258"/>
      <c r="AD256" s="1258"/>
      <c r="AE256" s="1258"/>
      <c r="AF256" s="2333">
        <v>11</v>
      </c>
    </row>
    <row s="61193" customFormat="1" customHeight="1" ht="11.549999999999999">
      <c r="A257" s="1679"/>
      <c r="B257" s="2328"/>
      <c r="C257" s="2328"/>
      <c r="D257" s="1043"/>
      <c r="K257" s="1852"/>
      <c r="L257" s="2328"/>
      <c r="M257" s="2328"/>
      <c r="N257" s="1852"/>
      <c r="O257" s="1852"/>
      <c r="P257" s="1852"/>
      <c r="Q257" s="1852"/>
      <c r="R257" s="2328"/>
      <c r="S257" s="1852"/>
      <c r="T257" s="1852"/>
      <c r="U257" s="1236"/>
      <c r="V257" s="1852"/>
      <c r="W257" s="1852"/>
      <c r="X257" s="1852"/>
      <c r="Y257" s="1852"/>
      <c r="Z257" s="1852"/>
      <c r="AA257" s="2324"/>
      <c r="AB257" s="1258"/>
      <c r="AC257" s="1258"/>
      <c r="AD257" s="1258"/>
      <c r="AE257" s="1258"/>
      <c r="AF257" s="2333">
        <v>11</v>
      </c>
    </row>
    <row s="61193" customFormat="1" customHeight="1" ht="11.549999999999999">
      <c r="A258" s="1679"/>
      <c r="B258" s="2328"/>
      <c r="C258" s="2328"/>
      <c r="D258" s="1043"/>
      <c r="K258" s="1852"/>
      <c r="L258" s="2328"/>
      <c r="M258" s="2328"/>
      <c r="N258" s="1852"/>
      <c r="O258" s="1852"/>
      <c r="P258" s="1852"/>
      <c r="Q258" s="1852"/>
      <c r="R258" s="2328"/>
      <c r="S258" s="1852"/>
      <c r="T258" s="1852"/>
      <c r="U258" s="1236"/>
      <c r="V258" s="1852"/>
      <c r="W258" s="1852"/>
      <c r="X258" s="1852"/>
      <c r="Y258" s="1852"/>
      <c r="Z258" s="1852"/>
      <c r="AA258" s="2324"/>
      <c r="AB258" s="1258"/>
      <c r="AC258" s="1258"/>
      <c r="AD258" s="1258"/>
      <c r="AE258" s="1258"/>
      <c r="AF258" s="2333">
        <v>11</v>
      </c>
    </row>
    <row s="61193" customFormat="1" customHeight="1" ht="11.549999999999999">
      <c r="A259" s="1679"/>
      <c r="B259" s="2328"/>
      <c r="C259" s="2328"/>
      <c r="D259" s="1043"/>
      <c r="K259" s="1852"/>
      <c r="L259" s="2328"/>
      <c r="M259" s="2328"/>
      <c r="N259" s="1852"/>
      <c r="O259" s="1852"/>
      <c r="P259" s="1852"/>
      <c r="Q259" s="1852"/>
      <c r="R259" s="2328"/>
      <c r="S259" s="1852"/>
      <c r="T259" s="1852"/>
      <c r="U259" s="1236"/>
      <c r="V259" s="1852"/>
      <c r="W259" s="1852"/>
      <c r="X259" s="1852"/>
      <c r="Y259" s="1852"/>
      <c r="Z259" s="1852"/>
      <c r="AA259" s="2324"/>
      <c r="AB259" s="1258"/>
      <c r="AC259" s="1258"/>
      <c r="AD259" s="1258"/>
      <c r="AE259" s="1258"/>
      <c r="AF259" s="2333">
        <v>11</v>
      </c>
    </row>
    <row s="61193" customFormat="1" customHeight="1" ht="11.549999999999999">
      <c r="A260" s="1679"/>
      <c r="B260" s="2328"/>
      <c r="C260" s="2328"/>
      <c r="D260" s="1043"/>
      <c r="K260" s="1852"/>
      <c r="L260" s="2328"/>
      <c r="M260" s="2328"/>
      <c r="N260" s="1852"/>
      <c r="O260" s="1852"/>
      <c r="P260" s="1852"/>
      <c r="Q260" s="1852"/>
      <c r="R260" s="2328"/>
      <c r="S260" s="1852"/>
      <c r="T260" s="1852"/>
      <c r="U260" s="1236"/>
      <c r="V260" s="1852"/>
      <c r="W260" s="1852"/>
      <c r="X260" s="1852"/>
      <c r="Y260" s="1852"/>
      <c r="Z260" s="1852"/>
      <c r="AA260" s="2324"/>
      <c r="AB260" s="1258"/>
      <c r="AC260" s="1258"/>
      <c r="AD260" s="1258"/>
      <c r="AE260" s="1258"/>
      <c r="AF260" s="2333">
        <v>11</v>
      </c>
    </row>
    <row s="61193" customFormat="1" customHeight="1" ht="11.549999999999999">
      <c r="A261" s="1679"/>
      <c r="B261" s="2328"/>
      <c r="C261" s="2328"/>
      <c r="D261" s="1043"/>
      <c r="K261" s="1852"/>
      <c r="L261" s="2328"/>
      <c r="M261" s="2328"/>
      <c r="N261" s="1852"/>
      <c r="O261" s="1852"/>
      <c r="P261" s="1852"/>
      <c r="Q261" s="1852"/>
      <c r="R261" s="2328"/>
      <c r="S261" s="1852"/>
      <c r="T261" s="1852"/>
      <c r="U261" s="1236"/>
      <c r="V261" s="1852"/>
      <c r="W261" s="1852"/>
      <c r="X261" s="1852"/>
      <c r="Y261" s="1852"/>
      <c r="Z261" s="1852"/>
      <c r="AA261" s="2324"/>
      <c r="AB261" s="1258"/>
      <c r="AC261" s="1258"/>
      <c r="AD261" s="1258"/>
      <c r="AE261" s="1258"/>
      <c r="AF261" s="2333">
        <v>11</v>
      </c>
    </row>
    <row s="61193" customFormat="1" customHeight="1" ht="11.549999999999999">
      <c r="A262" s="1679"/>
      <c r="B262" s="2328"/>
      <c r="C262" s="2328"/>
      <c r="D262" s="1043"/>
      <c r="K262" s="1852"/>
      <c r="L262" s="2328"/>
      <c r="M262" s="2328"/>
      <c r="N262" s="1852"/>
      <c r="O262" s="1852"/>
      <c r="P262" s="1852"/>
      <c r="Q262" s="1852"/>
      <c r="R262" s="2328"/>
      <c r="S262" s="1852"/>
      <c r="T262" s="1852"/>
      <c r="U262" s="1236"/>
      <c r="V262" s="1852"/>
      <c r="W262" s="1852"/>
      <c r="X262" s="1852"/>
      <c r="Y262" s="1852"/>
      <c r="Z262" s="1852"/>
      <c r="AA262" s="2324"/>
      <c r="AB262" s="1258"/>
      <c r="AC262" s="1258"/>
      <c r="AD262" s="1258"/>
      <c r="AE262" s="1258"/>
      <c r="AF262" s="2333">
        <v>11</v>
      </c>
    </row>
    <row s="61193" customFormat="1" customHeight="1" ht="11.549999999999999">
      <c r="A263" s="1679"/>
      <c r="B263" s="2328"/>
      <c r="C263" s="2328"/>
      <c r="D263" s="1043"/>
      <c r="K263" s="1852"/>
      <c r="L263" s="2328"/>
      <c r="M263" s="2328"/>
      <c r="N263" s="1852"/>
      <c r="O263" s="1852"/>
      <c r="P263" s="1852"/>
      <c r="Q263" s="1852"/>
      <c r="R263" s="2328"/>
      <c r="S263" s="1852"/>
      <c r="T263" s="1852"/>
      <c r="U263" s="1236"/>
      <c r="V263" s="1852"/>
      <c r="W263" s="1852"/>
      <c r="X263" s="1852"/>
      <c r="Y263" s="1852"/>
      <c r="Z263" s="1852"/>
      <c r="AA263" s="2324"/>
      <c r="AB263" s="1258"/>
      <c r="AC263" s="1258"/>
      <c r="AD263" s="1258"/>
      <c r="AE263" s="1258"/>
      <c r="AF263" s="2333">
        <v>11</v>
      </c>
    </row>
    <row s="61193" customFormat="1" customHeight="1" ht="11.549999999999999">
      <c r="A264" s="1679"/>
      <c r="B264" s="2328"/>
      <c r="C264" s="2328"/>
      <c r="D264" s="1043"/>
      <c r="K264" s="1852"/>
      <c r="L264" s="2328"/>
      <c r="M264" s="2328"/>
      <c r="N264" s="1852"/>
      <c r="O264" s="1852"/>
      <c r="P264" s="1852"/>
      <c r="Q264" s="1852"/>
      <c r="R264" s="2328"/>
      <c r="S264" s="1852"/>
      <c r="T264" s="1852"/>
      <c r="U264" s="1236"/>
      <c r="V264" s="1852"/>
      <c r="W264" s="1852"/>
      <c r="X264" s="1852"/>
      <c r="Y264" s="1852"/>
      <c r="Z264" s="1852"/>
      <c r="AA264" s="2324"/>
      <c r="AB264" s="1258"/>
      <c r="AC264" s="1258"/>
      <c r="AD264" s="1258"/>
      <c r="AE264" s="1258"/>
      <c r="AF264" s="2333">
        <v>11</v>
      </c>
    </row>
    <row s="61193" customFormat="1" customHeight="1" ht="11.549999999999999">
      <c r="A265" s="1679"/>
      <c r="B265" s="2328"/>
      <c r="C265" s="2328"/>
      <c r="D265" s="1043"/>
      <c r="K265" s="1852"/>
      <c r="L265" s="2328"/>
      <c r="M265" s="2328"/>
      <c r="N265" s="1852"/>
      <c r="O265" s="1852"/>
      <c r="P265" s="1852"/>
      <c r="Q265" s="1852"/>
      <c r="R265" s="2328"/>
      <c r="S265" s="1852"/>
      <c r="T265" s="1852"/>
      <c r="U265" s="1236"/>
      <c r="V265" s="1852"/>
      <c r="W265" s="1852"/>
      <c r="X265" s="1852"/>
      <c r="Y265" s="1852"/>
      <c r="Z265" s="1852"/>
      <c r="AA265" s="2324"/>
      <c r="AB265" s="1258"/>
      <c r="AC265" s="1258"/>
      <c r="AD265" s="1258"/>
      <c r="AE265" s="1258"/>
      <c r="AF265" s="2333">
        <v>11</v>
      </c>
    </row>
    <row s="61193" customFormat="1" customHeight="1" ht="11.549999999999999">
      <c r="A266" s="1679"/>
      <c r="B266" s="2328"/>
      <c r="C266" s="2328"/>
      <c r="D266" s="1043"/>
      <c r="K266" s="1852"/>
      <c r="L266" s="2328"/>
      <c r="M266" s="2328"/>
      <c r="N266" s="1852"/>
      <c r="O266" s="1852"/>
      <c r="P266" s="1852"/>
      <c r="Q266" s="1852"/>
      <c r="R266" s="2328"/>
      <c r="S266" s="1852"/>
      <c r="T266" s="1852"/>
      <c r="U266" s="1236"/>
      <c r="V266" s="1852"/>
      <c r="W266" s="1852"/>
      <c r="X266" s="1852"/>
      <c r="Y266" s="1852"/>
      <c r="Z266" s="1852"/>
      <c r="AA266" s="2324"/>
      <c r="AB266" s="1258"/>
      <c r="AC266" s="1258"/>
      <c r="AD266" s="1258"/>
      <c r="AE266" s="1258"/>
      <c r="AF266" s="2333">
        <v>11</v>
      </c>
    </row>
    <row s="61193" customFormat="1" customHeight="1" ht="11.549999999999999">
      <c r="A267" s="1679"/>
      <c r="B267" s="2328"/>
      <c r="C267" s="2328"/>
      <c r="D267" s="1043"/>
      <c r="K267" s="1852"/>
      <c r="L267" s="2328"/>
      <c r="M267" s="2328"/>
      <c r="N267" s="1852"/>
      <c r="O267" s="1852"/>
      <c r="P267" s="1852"/>
      <c r="Q267" s="1852"/>
      <c r="R267" s="2328"/>
      <c r="S267" s="1852"/>
      <c r="T267" s="1852"/>
      <c r="U267" s="1236"/>
      <c r="V267" s="1852"/>
      <c r="W267" s="1852"/>
      <c r="X267" s="1852"/>
      <c r="Y267" s="1852"/>
      <c r="Z267" s="1852"/>
      <c r="AA267" s="2324"/>
      <c r="AB267" s="1258"/>
      <c r="AC267" s="1258"/>
      <c r="AD267" s="1258"/>
      <c r="AE267" s="1258"/>
      <c r="AF267" s="2333">
        <v>11</v>
      </c>
    </row>
    <row s="61193" customFormat="1" customHeight="1" ht="11.549999999999999">
      <c r="A268" s="1679"/>
      <c r="B268" s="2328"/>
      <c r="C268" s="2328"/>
      <c r="D268" s="1043"/>
      <c r="K268" s="1852"/>
      <c r="L268" s="2328"/>
      <c r="M268" s="2328"/>
      <c r="N268" s="1852"/>
      <c r="O268" s="1852"/>
      <c r="P268" s="1852"/>
      <c r="Q268" s="1852"/>
      <c r="R268" s="2328"/>
      <c r="S268" s="1852"/>
      <c r="T268" s="1852"/>
      <c r="U268" s="1236"/>
      <c r="V268" s="1852"/>
      <c r="W268" s="1852"/>
      <c r="X268" s="1852"/>
      <c r="Y268" s="1852"/>
      <c r="Z268" s="1852"/>
      <c r="AA268" s="2324"/>
      <c r="AB268" s="1258"/>
      <c r="AC268" s="1258"/>
      <c r="AD268" s="1258"/>
      <c r="AE268" s="1258"/>
      <c r="AF268" s="2333">
        <v>11</v>
      </c>
    </row>
    <row s="61193" customFormat="1" customHeight="1" ht="11.549999999999999">
      <c r="A269" s="1679"/>
      <c r="B269" s="2328"/>
      <c r="C269" s="2328"/>
      <c r="D269" s="1043"/>
      <c r="K269" s="1852"/>
      <c r="L269" s="2328"/>
      <c r="M269" s="2328"/>
      <c r="N269" s="1852"/>
      <c r="O269" s="1852"/>
      <c r="P269" s="1852"/>
      <c r="Q269" s="1852"/>
      <c r="R269" s="2328"/>
      <c r="S269" s="1852"/>
      <c r="T269" s="1852"/>
      <c r="U269" s="1236"/>
      <c r="V269" s="1852"/>
      <c r="W269" s="1852"/>
      <c r="X269" s="1852"/>
      <c r="Y269" s="1852"/>
      <c r="Z269" s="1852"/>
      <c r="AA269" s="2324"/>
      <c r="AB269" s="1258"/>
      <c r="AC269" s="1258"/>
      <c r="AD269" s="1258"/>
      <c r="AE269" s="1258"/>
      <c r="AF269" s="2333">
        <v>11</v>
      </c>
    </row>
    <row s="61193" customFormat="1" customHeight="1" ht="11.549999999999999">
      <c r="A270" s="1679"/>
      <c r="B270" s="2328"/>
      <c r="C270" s="2328"/>
      <c r="D270" s="1043"/>
      <c r="K270" s="1852"/>
      <c r="L270" s="2328"/>
      <c r="M270" s="2328"/>
      <c r="N270" s="1852"/>
      <c r="O270" s="1852"/>
      <c r="P270" s="1852"/>
      <c r="Q270" s="1852"/>
      <c r="R270" s="2328"/>
      <c r="S270" s="1852"/>
      <c r="T270" s="1852"/>
      <c r="U270" s="1236"/>
      <c r="V270" s="1852"/>
      <c r="W270" s="1852"/>
      <c r="X270" s="1852"/>
      <c r="Y270" s="1852"/>
      <c r="Z270" s="1852"/>
      <c r="AA270" s="2324"/>
      <c r="AB270" s="1258"/>
      <c r="AC270" s="1258"/>
      <c r="AD270" s="1258"/>
      <c r="AE270" s="1258"/>
      <c r="AF270" s="2333">
        <v>11</v>
      </c>
    </row>
    <row s="61193" customFormat="1" customHeight="1" ht="11.549999999999999">
      <c r="A271" s="1679"/>
      <c r="B271" s="2328"/>
      <c r="C271" s="2328"/>
      <c r="D271" s="1043"/>
      <c r="K271" s="1852"/>
      <c r="L271" s="2328"/>
      <c r="M271" s="2328"/>
      <c r="N271" s="1852"/>
      <c r="O271" s="1852"/>
      <c r="P271" s="1852"/>
      <c r="Q271" s="1852"/>
      <c r="R271" s="2328"/>
      <c r="S271" s="1852"/>
      <c r="T271" s="1852"/>
      <c r="U271" s="1236"/>
      <c r="V271" s="1852"/>
      <c r="W271" s="1852"/>
      <c r="X271" s="1852"/>
      <c r="Y271" s="1852"/>
      <c r="Z271" s="1852"/>
      <c r="AA271" s="2324"/>
      <c r="AB271" s="1258"/>
      <c r="AC271" s="1258"/>
      <c r="AD271" s="1258"/>
      <c r="AE271" s="1258"/>
      <c r="AF271" s="2333">
        <v>11</v>
      </c>
    </row>
    <row s="61193" customFormat="1" customHeight="1" ht="11.549999999999999">
      <c r="A272" s="1679"/>
      <c r="B272" s="2328"/>
      <c r="C272" s="2328"/>
      <c r="D272" s="1043"/>
      <c r="K272" s="1852"/>
      <c r="L272" s="2328"/>
      <c r="M272" s="2328"/>
      <c r="N272" s="1852"/>
      <c r="O272" s="1852"/>
      <c r="P272" s="1852"/>
      <c r="Q272" s="1852"/>
      <c r="R272" s="2328"/>
      <c r="S272" s="1852"/>
      <c r="T272" s="1852"/>
      <c r="U272" s="1236"/>
      <c r="V272" s="1852"/>
      <c r="W272" s="1852"/>
      <c r="X272" s="1852"/>
      <c r="Y272" s="1852"/>
      <c r="Z272" s="1852"/>
      <c r="AA272" s="2324"/>
      <c r="AB272" s="1258"/>
      <c r="AC272" s="1258"/>
      <c r="AD272" s="1258"/>
      <c r="AE272" s="1258"/>
      <c r="AF272" s="2333">
        <v>11</v>
      </c>
    </row>
    <row s="61193" customFormat="1" customHeight="1" ht="11.549999999999999">
      <c r="A273" s="1679"/>
      <c r="B273" s="2328"/>
      <c r="C273" s="2328"/>
      <c r="D273" s="1043"/>
      <c r="K273" s="1852"/>
      <c r="L273" s="2328"/>
      <c r="M273" s="2328"/>
      <c r="N273" s="1852"/>
      <c r="O273" s="1852"/>
      <c r="P273" s="1852"/>
      <c r="Q273" s="1852"/>
      <c r="R273" s="2328"/>
      <c r="S273" s="1852"/>
      <c r="T273" s="1852"/>
      <c r="U273" s="1236"/>
      <c r="V273" s="1852"/>
      <c r="W273" s="1852"/>
      <c r="X273" s="1852"/>
      <c r="Y273" s="1852"/>
      <c r="Z273" s="1852"/>
      <c r="AA273" s="2324"/>
      <c r="AB273" s="1258"/>
      <c r="AC273" s="1258"/>
      <c r="AD273" s="1258"/>
      <c r="AE273" s="1258"/>
      <c r="AF273" s="2333">
        <v>11</v>
      </c>
    </row>
    <row s="61193" customFormat="1" customHeight="1" ht="11.549999999999999">
      <c r="A274" s="1679"/>
      <c r="B274" s="2328"/>
      <c r="C274" s="2328"/>
      <c r="D274" s="1043"/>
      <c r="K274" s="1852"/>
      <c r="L274" s="2328"/>
      <c r="M274" s="2328"/>
      <c r="N274" s="1852"/>
      <c r="O274" s="1852"/>
      <c r="P274" s="1852"/>
      <c r="Q274" s="1852"/>
      <c r="R274" s="2328"/>
      <c r="S274" s="1852"/>
      <c r="T274" s="1852"/>
      <c r="U274" s="1236"/>
      <c r="V274" s="1852"/>
      <c r="W274" s="1852"/>
      <c r="X274" s="1852"/>
      <c r="Y274" s="1852"/>
      <c r="Z274" s="1852"/>
      <c r="AA274" s="2324"/>
      <c r="AB274" s="1258"/>
      <c r="AC274" s="1258"/>
      <c r="AD274" s="1258"/>
      <c r="AE274" s="1258"/>
      <c r="AF274" s="2333">
        <v>11</v>
      </c>
    </row>
    <row s="61193" customFormat="1" customHeight="1" ht="11.549999999999999">
      <c r="A275" s="1679"/>
      <c r="B275" s="2328"/>
      <c r="C275" s="2328"/>
      <c r="D275" s="1043"/>
      <c r="K275" s="1852"/>
      <c r="L275" s="2328"/>
      <c r="M275" s="2328"/>
      <c r="N275" s="1852"/>
      <c r="O275" s="1852"/>
      <c r="P275" s="1852"/>
      <c r="Q275" s="1852"/>
      <c r="R275" s="2328"/>
      <c r="S275" s="1852"/>
      <c r="T275" s="1852"/>
      <c r="U275" s="1236"/>
      <c r="V275" s="1852"/>
      <c r="W275" s="1852"/>
      <c r="X275" s="1852"/>
      <c r="Y275" s="1852"/>
      <c r="Z275" s="1852"/>
      <c r="AA275" s="2324"/>
      <c r="AB275" s="1258"/>
      <c r="AC275" s="1258"/>
      <c r="AD275" s="1258"/>
      <c r="AE275" s="1258"/>
      <c r="AF275" s="2333">
        <v>11</v>
      </c>
    </row>
    <row s="61193" customFormat="1" customHeight="1" ht="11.549999999999999">
      <c r="A276" s="1679"/>
      <c r="B276" s="2328"/>
      <c r="C276" s="2328"/>
      <c r="D276" s="1043"/>
      <c r="K276" s="1852"/>
      <c r="L276" s="2328"/>
      <c r="M276" s="2328"/>
      <c r="N276" s="1852"/>
      <c r="O276" s="1852"/>
      <c r="P276" s="1852"/>
      <c r="Q276" s="1852"/>
      <c r="R276" s="2328"/>
      <c r="S276" s="1852"/>
      <c r="T276" s="1852"/>
      <c r="U276" s="1236"/>
      <c r="V276" s="1852"/>
      <c r="W276" s="1852"/>
      <c r="X276" s="1852"/>
      <c r="Y276" s="1852"/>
      <c r="Z276" s="1852"/>
      <c r="AA276" s="2324"/>
      <c r="AB276" s="1258"/>
      <c r="AC276" s="1258"/>
      <c r="AD276" s="1258"/>
      <c r="AE276" s="1258"/>
      <c r="AF276" s="2333">
        <v>11</v>
      </c>
    </row>
    <row s="61193" customFormat="1" customHeight="1" ht="11.549999999999999">
      <c r="A277" s="1679"/>
      <c r="B277" s="2328"/>
      <c r="C277" s="2328"/>
      <c r="D277" s="1043"/>
      <c r="K277" s="1852"/>
      <c r="L277" s="2328"/>
      <c r="M277" s="2328"/>
      <c r="N277" s="1852"/>
      <c r="O277" s="1852"/>
      <c r="P277" s="1852"/>
      <c r="Q277" s="1852"/>
      <c r="R277" s="2328"/>
      <c r="S277" s="1852"/>
      <c r="T277" s="1852"/>
      <c r="U277" s="1236"/>
      <c r="V277" s="1852"/>
      <c r="W277" s="1852"/>
      <c r="X277" s="1852"/>
      <c r="Y277" s="1852"/>
      <c r="Z277" s="1852"/>
      <c r="AA277" s="2324"/>
      <c r="AB277" s="1258"/>
      <c r="AC277" s="1258"/>
      <c r="AD277" s="1258"/>
      <c r="AE277" s="1258"/>
      <c r="AF277" s="2333">
        <v>11</v>
      </c>
    </row>
    <row s="61193" customFormat="1" customHeight="1" ht="11.549999999999999">
      <c r="A278" s="1679"/>
      <c r="B278" s="2328"/>
      <c r="C278" s="2328"/>
      <c r="D278" s="1043"/>
      <c r="K278" s="1852"/>
      <c r="L278" s="2328"/>
      <c r="M278" s="2328"/>
      <c r="N278" s="1852"/>
      <c r="O278" s="1852"/>
      <c r="P278" s="1852"/>
      <c r="Q278" s="1852"/>
      <c r="R278" s="2328"/>
      <c r="S278" s="1852"/>
      <c r="T278" s="1852"/>
      <c r="U278" s="1236"/>
      <c r="V278" s="1852"/>
      <c r="W278" s="1852"/>
      <c r="X278" s="1852"/>
      <c r="Y278" s="1852"/>
      <c r="Z278" s="1852"/>
      <c r="AA278" s="2324"/>
      <c r="AB278" s="1258"/>
      <c r="AC278" s="1258"/>
      <c r="AD278" s="1258"/>
      <c r="AE278" s="1258"/>
      <c r="AF278" s="2333">
        <v>11</v>
      </c>
    </row>
    <row s="61193" customFormat="1" customHeight="1" ht="11.549999999999999">
      <c r="A279" s="1679"/>
      <c r="B279" s="2328"/>
      <c r="C279" s="2328"/>
      <c r="D279" s="1043"/>
      <c r="K279" s="1852"/>
      <c r="L279" s="2328"/>
      <c r="M279" s="2328"/>
      <c r="N279" s="1852"/>
      <c r="O279" s="1852"/>
      <c r="P279" s="1852"/>
      <c r="Q279" s="1852"/>
      <c r="R279" s="2328"/>
      <c r="S279" s="1852"/>
      <c r="T279" s="1852"/>
      <c r="U279" s="1236"/>
      <c r="V279" s="1852"/>
      <c r="W279" s="1852"/>
      <c r="X279" s="1852"/>
      <c r="Y279" s="1852"/>
      <c r="Z279" s="1852"/>
      <c r="AA279" s="2324"/>
      <c r="AB279" s="1258"/>
      <c r="AC279" s="1258"/>
      <c r="AD279" s="1258"/>
      <c r="AE279" s="1258"/>
      <c r="AF279" s="2333">
        <v>11</v>
      </c>
    </row>
    <row s="61193" customFormat="1" customHeight="1" ht="11.549999999999999">
      <c r="A280" s="1679"/>
      <c r="B280" s="2328"/>
      <c r="C280" s="2328"/>
      <c r="D280" s="1043"/>
      <c r="K280" s="1852"/>
      <c r="L280" s="2328"/>
      <c r="M280" s="2328"/>
      <c r="N280" s="1852"/>
      <c r="O280" s="1852"/>
      <c r="P280" s="1852"/>
      <c r="Q280" s="1852"/>
      <c r="R280" s="2328"/>
      <c r="S280" s="1852"/>
      <c r="T280" s="1852"/>
      <c r="U280" s="1236"/>
      <c r="V280" s="1852"/>
      <c r="W280" s="1852"/>
      <c r="X280" s="1852"/>
      <c r="Y280" s="1852"/>
      <c r="Z280" s="1852"/>
      <c r="AA280" s="2324"/>
      <c r="AB280" s="1258"/>
      <c r="AC280" s="1258"/>
      <c r="AD280" s="1258"/>
      <c r="AE280" s="1258"/>
      <c r="AF280" s="2333">
        <v>11</v>
      </c>
    </row>
    <row s="61193" customFormat="1" customHeight="1" ht="11.549999999999999">
      <c r="A281" s="1679"/>
      <c r="B281" s="2328"/>
      <c r="C281" s="2328"/>
      <c r="D281" s="1043"/>
      <c r="K281" s="1852"/>
      <c r="L281" s="2328"/>
      <c r="M281" s="2328"/>
      <c r="N281" s="1852"/>
      <c r="O281" s="1852"/>
      <c r="P281" s="1852"/>
      <c r="Q281" s="1852"/>
      <c r="R281" s="2328"/>
      <c r="S281" s="1852"/>
      <c r="T281" s="1852"/>
      <c r="U281" s="1236"/>
      <c r="V281" s="1852"/>
      <c r="W281" s="1852"/>
      <c r="X281" s="1852"/>
      <c r="Y281" s="1852"/>
      <c r="Z281" s="1852"/>
      <c r="AA281" s="2324"/>
      <c r="AB281" s="1258"/>
      <c r="AC281" s="1258"/>
      <c r="AD281" s="1258"/>
      <c r="AE281" s="1258"/>
      <c r="AF281" s="2333">
        <v>11</v>
      </c>
    </row>
    <row s="61193" customFormat="1" customHeight="1" ht="11.549999999999999">
      <c r="A282" s="1679"/>
      <c r="B282" s="2328"/>
      <c r="C282" s="2328"/>
      <c r="D282" s="1043"/>
      <c r="K282" s="1852"/>
      <c r="L282" s="2328"/>
      <c r="M282" s="2328"/>
      <c r="N282" s="1852"/>
      <c r="O282" s="1852"/>
      <c r="P282" s="1852"/>
      <c r="Q282" s="1852"/>
      <c r="R282" s="2328"/>
      <c r="S282" s="1852"/>
      <c r="T282" s="1852"/>
      <c r="U282" s="1236"/>
      <c r="V282" s="1852"/>
      <c r="W282" s="1852"/>
      <c r="X282" s="1852"/>
      <c r="Y282" s="1852"/>
      <c r="Z282" s="1852"/>
      <c r="AA282" s="2324"/>
      <c r="AB282" s="1258"/>
      <c r="AC282" s="1258"/>
      <c r="AD282" s="1258"/>
      <c r="AE282" s="1258"/>
      <c r="AF282" s="2333">
        <v>11</v>
      </c>
    </row>
    <row s="61193" customFormat="1" customHeight="1" ht="11.549999999999999">
      <c r="A283" s="1679"/>
      <c r="B283" s="2328"/>
      <c r="C283" s="2328"/>
      <c r="D283" s="1043"/>
      <c r="K283" s="1852"/>
      <c r="L283" s="2328"/>
      <c r="M283" s="2328"/>
      <c r="N283" s="1852"/>
      <c r="O283" s="1852"/>
      <c r="P283" s="1852"/>
      <c r="Q283" s="1852"/>
      <c r="R283" s="2328"/>
      <c r="S283" s="1852"/>
      <c r="T283" s="1852"/>
      <c r="U283" s="1236"/>
      <c r="V283" s="1852"/>
      <c r="W283" s="1852"/>
      <c r="X283" s="1852"/>
      <c r="Y283" s="1852"/>
      <c r="Z283" s="1852"/>
      <c r="AA283" s="2324"/>
      <c r="AB283" s="1258"/>
      <c r="AC283" s="1258"/>
      <c r="AD283" s="1258"/>
      <c r="AE283" s="1258"/>
      <c r="AF283" s="2333">
        <v>11</v>
      </c>
    </row>
    <row s="61193" customFormat="1" customHeight="1" ht="11.549999999999999">
      <c r="A284" s="1679"/>
      <c r="B284" s="2328"/>
      <c r="C284" s="2328"/>
      <c r="D284" s="1043"/>
      <c r="K284" s="1852"/>
      <c r="L284" s="2328"/>
      <c r="M284" s="2328"/>
      <c r="N284" s="1852"/>
      <c r="O284" s="1852"/>
      <c r="P284" s="1852"/>
      <c r="Q284" s="1852"/>
      <c r="R284" s="2328"/>
      <c r="S284" s="1852"/>
      <c r="T284" s="1852"/>
      <c r="U284" s="1236"/>
      <c r="V284" s="1852"/>
      <c r="W284" s="1852"/>
      <c r="X284" s="1852"/>
      <c r="Y284" s="1852"/>
      <c r="Z284" s="1852"/>
      <c r="AA284" s="2324"/>
      <c r="AB284" s="1258"/>
      <c r="AC284" s="1258"/>
      <c r="AD284" s="1258"/>
      <c r="AE284" s="1258"/>
      <c r="AF284" s="2333">
        <v>11</v>
      </c>
    </row>
    <row s="61193" customFormat="1" customHeight="1" ht="11.549999999999999">
      <c r="A285" s="1679"/>
      <c r="B285" s="2328"/>
      <c r="C285" s="2328"/>
      <c r="D285" s="1043"/>
      <c r="K285" s="1852"/>
      <c r="L285" s="2328"/>
      <c r="M285" s="2328"/>
      <c r="N285" s="1852"/>
      <c r="O285" s="1852"/>
      <c r="P285" s="1852"/>
      <c r="Q285" s="1852"/>
      <c r="R285" s="2328"/>
      <c r="S285" s="1852"/>
      <c r="T285" s="1852"/>
      <c r="U285" s="1236"/>
      <c r="V285" s="1852"/>
      <c r="W285" s="1852"/>
      <c r="X285" s="1852"/>
      <c r="Y285" s="1852"/>
      <c r="Z285" s="1852"/>
      <c r="AA285" s="2324"/>
      <c r="AB285" s="1258"/>
      <c r="AC285" s="1258"/>
      <c r="AD285" s="1258"/>
      <c r="AE285" s="1258"/>
      <c r="AF285" s="2333">
        <v>11</v>
      </c>
    </row>
    <row s="61193" customFormat="1" customHeight="1" ht="11.549999999999999">
      <c r="A286" s="1679"/>
      <c r="B286" s="2328"/>
      <c r="C286" s="2328"/>
      <c r="D286" s="1043"/>
      <c r="K286" s="1852"/>
      <c r="L286" s="2328"/>
      <c r="M286" s="2328"/>
      <c r="N286" s="1852"/>
      <c r="O286" s="1852"/>
      <c r="P286" s="1852"/>
      <c r="Q286" s="1852"/>
      <c r="R286" s="2328"/>
      <c r="S286" s="1852"/>
      <c r="T286" s="1852"/>
      <c r="U286" s="1236"/>
      <c r="V286" s="1852"/>
      <c r="W286" s="1852"/>
      <c r="X286" s="1852"/>
      <c r="Y286" s="1852"/>
      <c r="Z286" s="1852"/>
      <c r="AA286" s="2324"/>
      <c r="AB286" s="1258"/>
      <c r="AC286" s="1258"/>
      <c r="AD286" s="1258"/>
      <c r="AE286" s="1258"/>
      <c r="AF286" s="2333">
        <v>11</v>
      </c>
    </row>
    <row s="61193" customFormat="1" customHeight="1" ht="11.549999999999999">
      <c r="A287" s="1679"/>
      <c r="B287" s="2328"/>
      <c r="C287" s="2328"/>
      <c r="D287" s="1043"/>
      <c r="K287" s="1852"/>
      <c r="L287" s="2328"/>
      <c r="M287" s="2328"/>
      <c r="N287" s="1852"/>
      <c r="O287" s="1852"/>
      <c r="P287" s="1852"/>
      <c r="Q287" s="1852"/>
      <c r="R287" s="2328"/>
      <c r="S287" s="1852"/>
      <c r="T287" s="1852"/>
      <c r="U287" s="1236"/>
      <c r="V287" s="1852"/>
      <c r="W287" s="1852"/>
      <c r="X287" s="1852"/>
      <c r="Y287" s="1852"/>
      <c r="Z287" s="1852"/>
      <c r="AA287" s="2324"/>
      <c r="AB287" s="1258"/>
      <c r="AC287" s="1258"/>
      <c r="AD287" s="1258"/>
      <c r="AE287" s="1258"/>
      <c r="AF287" s="2333">
        <v>11</v>
      </c>
    </row>
    <row s="61193" customFormat="1" customHeight="1" ht="11.549999999999999">
      <c r="A288" s="1679"/>
      <c r="B288" s="2328"/>
      <c r="C288" s="2328"/>
      <c r="D288" s="1043"/>
      <c r="K288" s="1852"/>
      <c r="L288" s="2328"/>
      <c r="M288" s="2328"/>
      <c r="N288" s="1852"/>
      <c r="O288" s="1852"/>
      <c r="P288" s="1852"/>
      <c r="Q288" s="1852"/>
      <c r="R288" s="2328"/>
      <c r="S288" s="1852"/>
      <c r="T288" s="1852"/>
      <c r="U288" s="1236"/>
      <c r="V288" s="1852"/>
      <c r="W288" s="1852"/>
      <c r="X288" s="1852"/>
      <c r="Y288" s="1852"/>
      <c r="Z288" s="1852"/>
      <c r="AA288" s="2324"/>
      <c r="AB288" s="1258"/>
      <c r="AC288" s="1258"/>
      <c r="AD288" s="1258"/>
      <c r="AE288" s="1258"/>
      <c r="AF288" s="2333">
        <v>11</v>
      </c>
    </row>
    <row customHeight="1" ht="11.549999999999999">
      <c r="AF289" s="2323">
        <v>11</v>
      </c>
    </row>
    <row customHeight="1" ht="11.549999999999999">
      <c r="AF290" s="2323">
        <v>11</v>
      </c>
    </row>
    <row customHeight="1" ht="11.549999999999999">
      <c r="AF291" s="2323">
        <v>11</v>
      </c>
    </row>
    <row customHeight="1" ht="11.549999999999999">
      <c r="A292" s="1682"/>
      <c r="B292" s="2323"/>
      <c r="D292" s="2323"/>
      <c r="K292" s="2323"/>
      <c r="N292" s="2323"/>
      <c r="O292" s="2323"/>
      <c r="P292" s="2323"/>
      <c r="Q292" s="2323"/>
      <c r="S292" s="2323"/>
      <c r="T292" s="2323"/>
      <c r="U292" s="2323"/>
      <c r="V292" s="2323"/>
      <c r="W292" s="2323"/>
      <c r="X292" s="2323"/>
      <c r="Y292" s="2323"/>
      <c r="Z292" s="2323"/>
      <c r="AA292" s="2323"/>
      <c r="AB292" s="2323"/>
      <c r="AC292" s="2323"/>
      <c r="AD292" s="2323"/>
      <c r="AE292" s="2323"/>
      <c r="AF292" s="2323">
        <v>11</v>
      </c>
    </row>
    <row customHeight="1" ht="11.549999999999999">
      <c r="A293" s="1682"/>
      <c r="B293" s="2323"/>
      <c r="D293" s="2323"/>
      <c r="K293" s="2323"/>
      <c r="N293" s="2323"/>
      <c r="O293" s="2323"/>
      <c r="P293" s="2323"/>
      <c r="Q293" s="2323"/>
      <c r="S293" s="2323"/>
      <c r="T293" s="2323"/>
      <c r="U293" s="2323"/>
      <c r="V293" s="2323"/>
      <c r="W293" s="2323"/>
      <c r="X293" s="2323"/>
      <c r="Y293" s="2323"/>
      <c r="Z293" s="2323"/>
      <c r="AA293" s="2323"/>
      <c r="AB293" s="2323"/>
      <c r="AC293" s="2323"/>
      <c r="AD293" s="2323"/>
      <c r="AE293" s="2323"/>
      <c r="AF293" s="2323">
        <v>11</v>
      </c>
    </row>
    <row customHeight="1" ht="11.549999999999999">
      <c r="A294" s="1682"/>
      <c r="B294" s="2323"/>
      <c r="D294" s="2323"/>
      <c r="K294" s="2323"/>
      <c r="N294" s="2323"/>
      <c r="O294" s="2323"/>
      <c r="P294" s="2323"/>
      <c r="Q294" s="2323"/>
      <c r="S294" s="2323"/>
      <c r="T294" s="2323"/>
      <c r="U294" s="2323"/>
      <c r="V294" s="2323"/>
      <c r="W294" s="2323"/>
      <c r="X294" s="2323"/>
      <c r="Y294" s="2323"/>
      <c r="Z294" s="2323"/>
      <c r="AA294" s="2323"/>
      <c r="AB294" s="2323"/>
      <c r="AC294" s="2323"/>
      <c r="AD294" s="2323"/>
      <c r="AE294" s="2323"/>
      <c r="AF294" s="2323">
        <v>11</v>
      </c>
    </row>
    <row customHeight="1" ht="11.549999999999999">
      <c r="A295" s="1682"/>
      <c r="B295" s="2323"/>
      <c r="D295" s="2323"/>
      <c r="K295" s="2323"/>
      <c r="N295" s="2323"/>
      <c r="O295" s="2323"/>
      <c r="P295" s="2323"/>
      <c r="Q295" s="2323"/>
      <c r="S295" s="2323"/>
      <c r="T295" s="2323"/>
      <c r="U295" s="2323"/>
      <c r="V295" s="2323"/>
      <c r="W295" s="2323"/>
      <c r="X295" s="2323"/>
      <c r="Y295" s="2323"/>
      <c r="Z295" s="2323"/>
      <c r="AA295" s="2323"/>
      <c r="AB295" s="2323"/>
      <c r="AC295" s="2323"/>
      <c r="AD295" s="2323"/>
      <c r="AE295" s="2323"/>
      <c r="AF295" s="2323">
        <v>11</v>
      </c>
    </row>
    <row customHeight="1" ht="11.549999999999999">
      <c r="A296" s="1682"/>
      <c r="B296" s="2323"/>
      <c r="D296" s="2323"/>
      <c r="K296" s="2323"/>
      <c r="N296" s="2323"/>
      <c r="O296" s="2323"/>
      <c r="P296" s="2323"/>
      <c r="Q296" s="2323"/>
      <c r="S296" s="2323"/>
      <c r="T296" s="2323"/>
      <c r="U296" s="2323"/>
      <c r="V296" s="2323"/>
      <c r="W296" s="2323"/>
      <c r="X296" s="2323"/>
      <c r="Y296" s="2323"/>
      <c r="Z296" s="2323"/>
      <c r="AA296" s="2323"/>
      <c r="AB296" s="2323"/>
      <c r="AC296" s="2323"/>
      <c r="AD296" s="2323"/>
      <c r="AE296" s="2323"/>
      <c r="AF296" s="2323">
        <v>11</v>
      </c>
    </row>
    <row customHeight="1" ht="11.549999999999999">
      <c r="A297" s="1682"/>
      <c r="B297" s="2323"/>
      <c r="D297" s="2323"/>
      <c r="K297" s="2323"/>
      <c r="N297" s="2323"/>
      <c r="O297" s="2323"/>
      <c r="P297" s="2323"/>
      <c r="Q297" s="2323"/>
      <c r="S297" s="2323"/>
      <c r="T297" s="2323"/>
      <c r="U297" s="2323"/>
      <c r="V297" s="2323"/>
      <c r="W297" s="2323"/>
      <c r="X297" s="2323"/>
      <c r="Y297" s="2323"/>
      <c r="Z297" s="2323"/>
      <c r="AA297" s="2323"/>
      <c r="AB297" s="2323"/>
      <c r="AC297" s="2323"/>
      <c r="AD297" s="2323"/>
      <c r="AE297" s="2323"/>
      <c r="AF297" s="2323">
        <v>11</v>
      </c>
    </row>
    <row customHeight="1" ht="11.549999999999999">
      <c r="A298" s="1682"/>
      <c r="B298" s="2323"/>
      <c r="D298" s="2323"/>
      <c r="K298" s="2323"/>
      <c r="N298" s="2323"/>
      <c r="O298" s="2323"/>
      <c r="P298" s="2323"/>
      <c r="Q298" s="2323"/>
      <c r="S298" s="2323"/>
      <c r="T298" s="2323"/>
      <c r="U298" s="2323"/>
      <c r="V298" s="2323"/>
      <c r="W298" s="2323"/>
      <c r="X298" s="2323"/>
      <c r="Y298" s="2323"/>
      <c r="Z298" s="2323"/>
      <c r="AA298" s="2323"/>
      <c r="AB298" s="2323"/>
      <c r="AC298" s="2323"/>
      <c r="AD298" s="2323"/>
      <c r="AE298" s="2323"/>
      <c r="AF298" s="2323">
        <v>11</v>
      </c>
    </row>
    <row customHeight="1" ht="11.549999999999999">
      <c r="A299" s="1682"/>
      <c r="B299" s="2323"/>
      <c r="D299" s="2323"/>
      <c r="K299" s="2323"/>
      <c r="N299" s="2323"/>
      <c r="O299" s="2323"/>
      <c r="P299" s="2323"/>
      <c r="Q299" s="2323"/>
      <c r="S299" s="2323"/>
      <c r="T299" s="2323"/>
      <c r="U299" s="2323"/>
      <c r="V299" s="2323"/>
      <c r="W299" s="2323"/>
      <c r="X299" s="2323"/>
      <c r="Y299" s="2323"/>
      <c r="Z299" s="2323"/>
      <c r="AA299" s="2323"/>
      <c r="AB299" s="2323"/>
      <c r="AC299" s="2323"/>
      <c r="AD299" s="2323"/>
      <c r="AE299" s="2323"/>
      <c r="AF299" s="2323">
        <v>11</v>
      </c>
    </row>
    <row customHeight="1" ht="11.549999999999999">
      <c r="A300" s="1682"/>
      <c r="B300" s="2323"/>
      <c r="D300" s="2323"/>
      <c r="K300" s="2323"/>
      <c r="N300" s="2323"/>
      <c r="O300" s="2323"/>
      <c r="P300" s="2323"/>
      <c r="Q300" s="2323"/>
      <c r="S300" s="2323"/>
      <c r="T300" s="2323"/>
      <c r="U300" s="2323"/>
      <c r="V300" s="2323"/>
      <c r="W300" s="2323"/>
      <c r="X300" s="2323"/>
      <c r="Y300" s="2323"/>
      <c r="Z300" s="2323"/>
      <c r="AA300" s="2323"/>
      <c r="AB300" s="2323"/>
      <c r="AC300" s="2323"/>
      <c r="AD300" s="2323"/>
      <c r="AE300" s="2323"/>
      <c r="AF300" s="2323">
        <v>11</v>
      </c>
    </row>
    <row customHeight="1" ht="11.549999999999999">
      <c r="A301" s="1682"/>
      <c r="B301" s="2323"/>
      <c r="D301" s="2323"/>
      <c r="K301" s="2323"/>
      <c r="N301" s="2323"/>
      <c r="O301" s="2323"/>
      <c r="P301" s="2323"/>
      <c r="Q301" s="2323"/>
      <c r="S301" s="2323"/>
      <c r="T301" s="2323"/>
      <c r="U301" s="2323"/>
      <c r="V301" s="2323"/>
      <c r="W301" s="2323"/>
      <c r="X301" s="2323"/>
      <c r="Y301" s="2323"/>
      <c r="Z301" s="2323"/>
      <c r="AA301" s="2323"/>
      <c r="AB301" s="2323"/>
      <c r="AC301" s="2323"/>
      <c r="AD301" s="2323"/>
      <c r="AE301" s="2323"/>
      <c r="AF301" s="2323">
        <v>11</v>
      </c>
    </row>
    <row customHeight="1" ht="11.549999999999999">
      <c r="A302" s="1682"/>
      <c r="B302" s="2323"/>
      <c r="D302" s="2323"/>
      <c r="K302" s="2323"/>
      <c r="N302" s="2323"/>
      <c r="O302" s="2323"/>
      <c r="P302" s="2323"/>
      <c r="Q302" s="2323"/>
      <c r="S302" s="2323"/>
      <c r="T302" s="2323"/>
      <c r="U302" s="2323"/>
      <c r="V302" s="2323"/>
      <c r="W302" s="2323"/>
      <c r="X302" s="2323"/>
      <c r="Y302" s="2323"/>
      <c r="Z302" s="2323"/>
      <c r="AA302" s="2323"/>
      <c r="AB302" s="2323"/>
      <c r="AC302" s="2323"/>
      <c r="AD302" s="2323"/>
      <c r="AE302" s="2323"/>
      <c r="AF302" s="2323">
        <v>11</v>
      </c>
    </row>
    <row customHeight="1" ht="11.25" hidden="1">
      <c r="A303" s="1679" t="s">
        <v>83</v>
      </c>
      <c r="B303" s="1852">
        <v>0</v>
      </c>
      <c r="C303" s="2328">
        <v>0</v>
      </c>
      <c r="D303" s="2327">
        <v>3</v>
      </c>
      <c r="E303" s="2323">
        <v>7</v>
      </c>
      <c r="F303" s="2323">
        <v>54</v>
      </c>
      <c r="G303" s="2323">
        <v>10</v>
      </c>
      <c r="H303" s="2323">
        <v>0</v>
      </c>
      <c r="I303" s="2323">
        <v>40</v>
      </c>
      <c r="J303" s="2323">
        <v>102</v>
      </c>
      <c r="K303" s="1852">
        <v>9</v>
      </c>
      <c r="L303" s="2328">
        <v>5</v>
      </c>
      <c r="M303" s="2328">
        <v>3</v>
      </c>
      <c r="N303" s="1852">
        <v>3</v>
      </c>
      <c r="O303" s="1852">
        <v>3</v>
      </c>
      <c r="P303" s="1852">
        <v>3</v>
      </c>
      <c r="Q303" s="1852">
        <v>3</v>
      </c>
      <c r="R303" s="2328">
        <v>10</v>
      </c>
      <c r="S303" s="1852">
        <v>34</v>
      </c>
      <c r="T303" s="1852">
        <v>9</v>
      </c>
      <c r="U303" s="1236">
        <v>8</v>
      </c>
      <c r="V303" s="1852">
        <v>8</v>
      </c>
      <c r="W303" s="1852">
        <v>8</v>
      </c>
      <c r="X303" s="1852">
        <v>8</v>
      </c>
      <c r="Y303" s="1852">
        <v>8</v>
      </c>
      <c r="Z303" s="1852">
        <v>8</v>
      </c>
      <c r="AA303" s="2324">
        <v>8</v>
      </c>
      <c r="AB303" s="2324">
        <v>8</v>
      </c>
      <c r="AC303" s="2324">
        <v>8</v>
      </c>
      <c r="AD303" s="2324">
        <v>8</v>
      </c>
      <c r="AE303" s="2324">
        <v>8</v>
      </c>
      <c r="AF303" s="2323">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A1E41F-CAC5-B441-96F5-7C8BCD5FCE8F}"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62050" width="14.7109375" hidden="1" customWidth="1"/>
    <col min="2" max="2" style="62759" width="17.00390625" hidden="1" customWidth="1"/>
    <col min="3" max="3" style="62286" width="3.00390625" customWidth="1"/>
    <col min="4" max="4" style="62286" width="1.8515625" hidden="1" customWidth="1"/>
    <col min="5" max="6" style="62286" width="7.00390625" customWidth="1"/>
    <col min="7" max="7" style="62286" width="29.00390625" customWidth="1"/>
    <col min="8" max="8" style="62286" width="3.7109375" customWidth="1"/>
    <col min="9" max="9" style="62286" width="5.00390625" customWidth="1"/>
    <col min="10" max="11" style="62286" width="24.00390625" customWidth="1"/>
    <col min="12" max="12" style="62286" width="3.00390625" customWidth="1"/>
    <col min="13" max="13" style="62286" width="6.00390625" customWidth="1"/>
    <col min="14" max="14" style="62286" width="25.00390625" customWidth="1"/>
    <col min="15" max="18" style="62286" width="18.00390625" customWidth="1"/>
    <col min="19" max="19" style="62286" width="93.00390625" customWidth="1"/>
    <col min="20" max="20" style="62286" width="10.00390625" customWidth="1"/>
    <col min="21" max="21" style="61695" width="10.00390625" customWidth="1"/>
    <col min="22" max="22" style="61695" width="11.00390625" customWidth="1"/>
    <col min="23" max="27" style="62759" width="10.00390625" customWidth="1"/>
    <col min="28" max="83" style="62286" width="8.00390625" customWidth="1"/>
    <col min="84" max="84" style="62286" width="9.140625" hidden="1"/>
  </cols>
  <sheetData>
    <row customHeight="1" ht="22.5" hidden="1">
      <c r="CF1" s="1197" t="s">
        <v>14</v>
      </c>
    </row>
    <row customHeight="1" ht="11.25" hidden="1">
      <c r="CF2" s="1197">
        <v>0</v>
      </c>
    </row>
    <row customHeight="1" ht="11.25" hidden="1">
      <c r="CF3" s="1197">
        <v>0</v>
      </c>
    </row>
    <row customHeight="1" ht="3">
      <c r="C4" s="1201"/>
      <c r="D4" s="1201"/>
      <c r="E4" s="1201"/>
      <c r="F4" s="1201"/>
      <c r="G4" s="1201"/>
      <c r="H4" s="1201"/>
      <c r="I4" s="1201"/>
      <c r="J4" s="1201"/>
      <c r="K4" s="858"/>
      <c r="L4" s="858"/>
      <c r="M4" s="858"/>
      <c r="CF4" s="1197">
        <v>3</v>
      </c>
    </row>
    <row customHeight="1" ht="29.25">
      <c r="C5" s="1201"/>
      <c r="D5" s="1749"/>
      <c r="E5" s="2929" t="str">
        <f>FHD20_NAME_FORM</f>
        <v>Форма 11. Информация о расходах на капитальный и текущий ремонт основных средств</v>
      </c>
      <c r="F5" s="2929"/>
      <c r="G5" s="2929"/>
      <c r="H5" s="2929"/>
      <c r="I5" s="2929"/>
      <c r="J5" s="2929"/>
      <c r="K5" s="2929"/>
      <c r="L5" s="1305"/>
      <c r="M5" s="1305"/>
      <c r="CF5" s="1197">
        <v>28</v>
      </c>
    </row>
    <row s="62286" customFormat="1" customHeight="1" ht="16.8">
      <c r="A6" s="1302"/>
      <c r="B6" s="1451"/>
      <c r="C6" s="1201"/>
      <c r="D6" s="1750"/>
      <c r="E6" s="2868" t="str">
        <f>IF(org=0,"Не определено",org)</f>
        <v>АО "ДГК"</v>
      </c>
      <c r="F6" s="2868"/>
      <c r="G6" s="2868"/>
      <c r="H6" s="2868"/>
      <c r="I6" s="2868"/>
      <c r="J6" s="2868"/>
      <c r="K6" s="2868"/>
      <c r="L6" s="1305"/>
      <c r="M6" s="1305"/>
      <c r="U6" s="1303"/>
      <c r="V6" s="1303"/>
      <c r="W6" s="1304"/>
      <c r="X6" s="1451"/>
      <c r="Y6" s="1451"/>
      <c r="Z6" s="1451"/>
      <c r="AA6" s="1451"/>
      <c r="CF6" s="1450">
        <v>16</v>
      </c>
    </row>
    <row customHeight="1" ht="11.549999999999999">
      <c r="C7" s="1201"/>
      <c r="D7" s="1201"/>
      <c r="E7" s="1201"/>
      <c r="F7" s="1201"/>
      <c r="G7" s="1214"/>
      <c r="H7" s="1214"/>
      <c r="I7" s="1214"/>
      <c r="J7" s="1214"/>
      <c r="K7" s="1306"/>
      <c r="L7" s="1306"/>
      <c r="M7" s="1306"/>
      <c r="R7" s="1444"/>
      <c r="CF7" s="1197">
        <v>11</v>
      </c>
    </row>
    <row s="61193" customFormat="1" customHeight="1" ht="4.2">
      <c r="A8" s="1313"/>
      <c r="B8" s="1258"/>
      <c r="C8" s="1043"/>
      <c r="D8" s="1043"/>
      <c r="E8" s="1043"/>
      <c r="F8" s="1043"/>
      <c r="G8" s="1667"/>
      <c r="H8" s="1667"/>
      <c r="I8" s="1667"/>
      <c r="J8" s="1667"/>
      <c r="K8" s="1710"/>
      <c r="L8" s="1710"/>
      <c r="M8" s="1710"/>
      <c r="R8" s="1711"/>
      <c r="U8" s="1303"/>
      <c r="V8" s="1303"/>
      <c r="W8" s="1314"/>
      <c r="X8" s="1258"/>
      <c r="Y8" s="1258"/>
      <c r="Z8" s="1258"/>
      <c r="AA8" s="1258"/>
      <c r="CF8" s="1188">
        <v>4</v>
      </c>
    </row>
    <row customHeight="1" ht="19.95">
      <c r="D9" s="981"/>
      <c r="E9" s="2793" t="s">
        <v>375</v>
      </c>
      <c r="F9" s="2794"/>
      <c r="G9" s="2794"/>
      <c r="H9" s="2794"/>
      <c r="I9" s="2794"/>
      <c r="J9" s="2794"/>
      <c r="K9" s="2794"/>
      <c r="L9" s="2794"/>
      <c r="M9" s="2794"/>
      <c r="N9" s="2794"/>
      <c r="O9" s="2794"/>
      <c r="P9" s="2794"/>
      <c r="Q9" s="2794"/>
      <c r="R9" s="2795"/>
      <c r="S9" s="2819" t="s">
        <v>376</v>
      </c>
      <c r="T9" s="1026"/>
      <c r="CF9" s="1197">
        <v>19</v>
      </c>
    </row>
    <row customHeight="1" ht="48.29999999999999">
      <c r="D10" s="1243" t="s">
        <v>89</v>
      </c>
      <c r="E10" s="2819" t="s">
        <v>89</v>
      </c>
      <c r="F10" s="2819"/>
      <c r="G10" s="1213" t="s">
        <v>377</v>
      </c>
      <c r="H10" s="2819" t="s">
        <v>89</v>
      </c>
      <c r="I10" s="2819"/>
      <c r="J10" s="1213" t="s">
        <v>676</v>
      </c>
      <c r="K10" s="1213" t="s">
        <v>677</v>
      </c>
      <c r="L10" s="2819" t="s">
        <v>89</v>
      </c>
      <c r="M10" s="2819"/>
      <c r="N10" s="1213" t="s">
        <v>678</v>
      </c>
      <c r="O10" s="1213" t="s">
        <v>679</v>
      </c>
      <c r="P10" s="1213" t="s">
        <v>680</v>
      </c>
      <c r="Q10" s="1213" t="s">
        <v>681</v>
      </c>
      <c r="R10" s="1213" t="s">
        <v>682</v>
      </c>
      <c r="S10" s="2819"/>
      <c r="T10" s="1026"/>
      <c r="CF10" s="1197">
        <v>46</v>
      </c>
    </row>
    <row s="61695" customFormat="1" customHeight="1" ht="15" hidden="1">
      <c r="A11" s="1744"/>
      <c r="D11" s="1717" t="s">
        <v>118</v>
      </c>
      <c r="E11" s="1717"/>
      <c r="F11" s="1717" t="s">
        <v>103</v>
      </c>
      <c r="G11" s="1717" t="s">
        <v>91</v>
      </c>
      <c r="H11" s="1717"/>
      <c r="I11" s="1717" t="s">
        <v>92</v>
      </c>
      <c r="J11" s="1717" t="s">
        <v>119</v>
      </c>
      <c r="K11" s="1717" t="s">
        <v>93</v>
      </c>
      <c r="L11" s="1717"/>
      <c r="M11" s="1717" t="s">
        <v>94</v>
      </c>
      <c r="N11" s="1717" t="s">
        <v>120</v>
      </c>
      <c r="O11" s="1717" t="s">
        <v>156</v>
      </c>
      <c r="P11" s="1717" t="s">
        <v>157</v>
      </c>
      <c r="Q11" s="1717" t="s">
        <v>158</v>
      </c>
      <c r="R11" s="1717" t="s">
        <v>159</v>
      </c>
      <c r="S11" s="1717" t="s">
        <v>160</v>
      </c>
      <c r="U11" s="1303"/>
      <c r="V11" s="1303"/>
      <c r="W11" s="1303"/>
      <c r="CF11" s="1203">
        <v>0</v>
      </c>
    </row>
    <row s="62286" customFormat="1" customHeight="1" ht="1.05">
      <c r="A12" s="1307"/>
      <c r="B12" s="1054"/>
      <c r="D12" s="1240"/>
      <c r="E12" s="1038"/>
      <c r="F12" s="1038"/>
      <c r="Q12" s="1308"/>
      <c r="R12" s="1309"/>
      <c r="T12" s="1310"/>
      <c r="U12" s="1311"/>
      <c r="V12" s="1311"/>
      <c r="W12" s="1312"/>
      <c r="X12" s="1054"/>
      <c r="Y12" s="1054"/>
      <c r="Z12" s="1054"/>
      <c r="AA12" s="1054"/>
      <c r="CF12" s="1201">
        <v>1</v>
      </c>
    </row>
    <row s="61193" customFormat="1" customHeight="1" ht="1.05">
      <c r="A13" s="1313"/>
      <c r="B13" s="1258"/>
      <c r="D13" s="1240" t="s">
        <v>451</v>
      </c>
      <c r="E13" s="1252"/>
      <c r="F13" s="1252"/>
      <c r="G13" s="1252"/>
      <c r="H13" s="1252"/>
      <c r="I13" s="1252"/>
      <c r="J13" s="1252"/>
      <c r="K13" s="1252"/>
      <c r="L13" s="1252"/>
      <c r="M13" s="1252"/>
      <c r="N13" s="1252"/>
      <c r="O13" s="1252"/>
      <c r="P13" s="1252"/>
      <c r="Q13" s="1252"/>
      <c r="R13" s="1252"/>
      <c r="T13" s="1026"/>
      <c r="U13" s="1303"/>
      <c r="V13" s="1303"/>
      <c r="W13" s="1314"/>
      <c r="X13" s="1258"/>
      <c r="Y13" s="1258"/>
      <c r="Z13" s="1258"/>
      <c r="AA13" s="1258"/>
      <c r="CF13" s="1188">
        <v>1</v>
      </c>
    </row>
    <row s="63225" customFormat="1" customHeight="1" ht="15" hidden="1">
      <c r="A14" s="1315" t="s">
        <v>125</v>
      </c>
      <c r="B14" s="1316"/>
      <c r="C14" s="1316"/>
      <c r="D14" s="3072" t="s">
        <v>118</v>
      </c>
      <c r="E14" s="3069" t="s">
        <v>114</v>
      </c>
      <c r="F14" s="3070"/>
      <c r="G14" s="3071"/>
      <c r="H14" s="3075">
        <f>IF(A14="","",INDEX(DIFFERENTIATION_UNMERGE_VD,MATCH(A14,DIFFERENTIATION_ID_DIFF,0)))</f>
        <v>0</v>
      </c>
      <c r="I14" s="3075"/>
      <c r="J14" s="3075"/>
      <c r="K14" s="3075"/>
      <c r="L14" s="3075"/>
      <c r="M14" s="3075"/>
      <c r="N14" s="3075"/>
      <c r="O14" s="3075"/>
      <c r="P14" s="3075"/>
      <c r="Q14" s="3075"/>
      <c r="R14" s="3075"/>
      <c r="S14" s="1411"/>
      <c r="T14" s="1408"/>
      <c r="U14" s="1317"/>
      <c r="V14" s="1317"/>
      <c r="W14" s="1318"/>
      <c r="X14" s="1318"/>
      <c r="Y14" s="1318"/>
      <c r="Z14" s="1318"/>
      <c r="AA14" s="1319"/>
      <c r="AB14" s="1320"/>
      <c r="AC14" s="3067"/>
      <c r="AD14" s="1321"/>
      <c r="AE14" s="1322" t="s">
        <v>28</v>
      </c>
      <c r="AF14" s="1322"/>
      <c r="AG14" s="1323" t="s">
        <v>683</v>
      </c>
      <c r="AH14" s="1324">
        <v>3</v>
      </c>
      <c r="AI14" s="1317"/>
      <c r="AJ14" s="1317"/>
      <c r="AK14" s="1317"/>
      <c r="AL14" s="1317"/>
      <c r="AM14" s="1317"/>
      <c r="AN14" s="1317"/>
      <c r="AO14" s="1317"/>
      <c r="AP14" s="1317"/>
      <c r="AQ14" s="1317"/>
      <c r="AR14" s="1317"/>
      <c r="AS14" s="1317"/>
      <c r="AT14" s="1317"/>
      <c r="AU14" s="1317"/>
      <c r="AV14" s="1317"/>
      <c r="AW14" s="1317"/>
      <c r="AX14" s="1317"/>
      <c r="AY14" s="1317"/>
      <c r="AZ14" s="1317"/>
      <c r="BA14" s="1317"/>
      <c r="BB14" s="1317"/>
      <c r="BC14" s="1317"/>
      <c r="BD14" s="1317"/>
      <c r="BE14" s="1317"/>
      <c r="BF14" s="1317"/>
      <c r="BG14" s="1317"/>
      <c r="BH14" s="1317"/>
      <c r="BI14" s="1317"/>
      <c r="BJ14" s="1317"/>
      <c r="BK14" s="1317"/>
      <c r="BL14" s="1317"/>
      <c r="BM14" s="1317"/>
      <c r="BN14" s="1317"/>
      <c r="BO14" s="1317"/>
      <c r="BP14" s="1317"/>
      <c r="BQ14" s="1317"/>
      <c r="BR14" s="1317"/>
      <c r="BS14" s="1317"/>
      <c r="BT14" s="1317"/>
      <c r="BU14" s="1317"/>
      <c r="BV14" s="1318"/>
      <c r="BW14" s="1318"/>
      <c r="BX14" s="1318"/>
      <c r="BY14" s="1318"/>
      <c r="BZ14" s="1318"/>
      <c r="CA14" s="1318"/>
      <c r="CB14" s="1318"/>
      <c r="CC14" s="1318"/>
      <c r="CD14" s="1318"/>
      <c r="CE14" s="1318"/>
      <c r="CF14" s="985">
        <v>0</v>
      </c>
    </row>
    <row s="63225" customFormat="1" customHeight="1" ht="15" hidden="1">
      <c r="A15" s="1315"/>
      <c r="B15" s="1316"/>
      <c r="C15" s="1316"/>
      <c r="D15" s="3073"/>
      <c r="E15" s="3069" t="s">
        <v>638</v>
      </c>
      <c r="F15" s="3070"/>
      <c r="G15" s="3071"/>
      <c r="H15" s="3075" t="str">
        <f>IF(A14="","",INDEX(DIFFERENTIATION_UNMERGE_AREA,MATCH(A14,DIFFERENTIATION_ID_DIFF,0)))</f>
        <v/>
      </c>
      <c r="I15" s="3075"/>
      <c r="J15" s="3075"/>
      <c r="K15" s="3075"/>
      <c r="L15" s="3075"/>
      <c r="M15" s="3075"/>
      <c r="N15" s="3075"/>
      <c r="O15" s="3075"/>
      <c r="P15" s="3075"/>
      <c r="Q15" s="3075"/>
      <c r="R15" s="3075"/>
      <c r="S15" s="1411"/>
      <c r="T15" s="1408"/>
      <c r="U15" s="1317"/>
      <c r="V15" s="1317"/>
      <c r="W15" s="1318"/>
      <c r="X15" s="1318"/>
      <c r="Y15" s="1318"/>
      <c r="Z15" s="1318"/>
      <c r="AA15" s="1319"/>
      <c r="AB15" s="1320"/>
      <c r="AC15" s="3067"/>
      <c r="AD15" s="1321"/>
      <c r="AE15" s="1322"/>
      <c r="AF15" s="1322"/>
      <c r="AG15" s="1323"/>
      <c r="AH15" s="1324"/>
      <c r="AI15" s="1317"/>
      <c r="AJ15" s="1317"/>
      <c r="AK15" s="1317"/>
      <c r="AL15" s="1317"/>
      <c r="AM15" s="1317"/>
      <c r="AN15" s="1317"/>
      <c r="AO15" s="1317"/>
      <c r="AP15" s="1317"/>
      <c r="AQ15" s="1317"/>
      <c r="AR15" s="1317"/>
      <c r="AS15" s="1317"/>
      <c r="AT15" s="1317"/>
      <c r="AU15" s="1317"/>
      <c r="AV15" s="1317"/>
      <c r="AW15" s="1317"/>
      <c r="AX15" s="1317"/>
      <c r="AY15" s="1317"/>
      <c r="AZ15" s="1317"/>
      <c r="BA15" s="1317"/>
      <c r="BB15" s="1317"/>
      <c r="BC15" s="1317"/>
      <c r="BD15" s="1317"/>
      <c r="BE15" s="1317"/>
      <c r="BF15" s="1317"/>
      <c r="BG15" s="1317"/>
      <c r="BH15" s="1317"/>
      <c r="BI15" s="1317"/>
      <c r="BJ15" s="1317"/>
      <c r="BK15" s="1317"/>
      <c r="BL15" s="1317"/>
      <c r="BM15" s="1317"/>
      <c r="BN15" s="1317"/>
      <c r="BO15" s="1317"/>
      <c r="BP15" s="1317"/>
      <c r="BQ15" s="1317"/>
      <c r="BR15" s="1317"/>
      <c r="BS15" s="1317"/>
      <c r="BT15" s="1317"/>
      <c r="BU15" s="1317"/>
      <c r="BV15" s="1318"/>
      <c r="BW15" s="1318"/>
      <c r="BX15" s="1318"/>
      <c r="BY15" s="1318"/>
      <c r="BZ15" s="1318"/>
      <c r="CA15" s="1318"/>
      <c r="CB15" s="1318"/>
      <c r="CC15" s="1318"/>
      <c r="CD15" s="1318"/>
      <c r="CE15" s="1318"/>
      <c r="CF15" s="985">
        <v>0</v>
      </c>
    </row>
    <row s="63225" customFormat="1" customHeight="1" ht="15" hidden="1">
      <c r="A16" s="1315"/>
      <c r="B16" s="1316"/>
      <c r="C16" s="1316"/>
      <c r="D16" s="3073"/>
      <c r="E16" s="3069" t="s">
        <v>639</v>
      </c>
      <c r="F16" s="3070"/>
      <c r="G16" s="3071"/>
      <c r="H16" s="3075" t="str">
        <f>IF(A14="","",INDEX(DIFFERENTIATION_UNMERGE_SYSTEM,MATCH(A14,DIFFERENTIATION_ID_DIFF,0)))</f>
        <v>без дифференциации</v>
      </c>
      <c r="I16" s="3075"/>
      <c r="J16" s="3075"/>
      <c r="K16" s="3075"/>
      <c r="L16" s="3075"/>
      <c r="M16" s="3075"/>
      <c r="N16" s="3075"/>
      <c r="O16" s="3075"/>
      <c r="P16" s="3075"/>
      <c r="Q16" s="3075"/>
      <c r="R16" s="3075"/>
      <c r="S16" s="1411"/>
      <c r="T16" s="1408"/>
      <c r="U16" s="1317"/>
      <c r="V16" s="1317"/>
      <c r="W16" s="1318"/>
      <c r="X16" s="1318"/>
      <c r="Y16" s="1318"/>
      <c r="Z16" s="1318"/>
      <c r="AA16" s="1319"/>
      <c r="AB16" s="1320"/>
      <c r="AC16" s="3067"/>
      <c r="AD16" s="1321"/>
      <c r="AE16" s="1322"/>
      <c r="AF16" s="1322"/>
      <c r="AG16" s="1323"/>
      <c r="AH16" s="1324"/>
      <c r="AI16" s="1317"/>
      <c r="AJ16" s="1317"/>
      <c r="AK16" s="1317"/>
      <c r="AL16" s="1317"/>
      <c r="AM16" s="1317"/>
      <c r="AN16" s="1317"/>
      <c r="AO16" s="1317"/>
      <c r="AP16" s="1317"/>
      <c r="AQ16" s="1317"/>
      <c r="AR16" s="1317"/>
      <c r="AS16" s="1317"/>
      <c r="AT16" s="1317"/>
      <c r="AU16" s="1317"/>
      <c r="AV16" s="1317"/>
      <c r="AW16" s="1317"/>
      <c r="AX16" s="1317"/>
      <c r="AY16" s="1317"/>
      <c r="AZ16" s="1317"/>
      <c r="BA16" s="1317"/>
      <c r="BB16" s="1317"/>
      <c r="BC16" s="1317"/>
      <c r="BD16" s="1317"/>
      <c r="BE16" s="1317"/>
      <c r="BF16" s="1317"/>
      <c r="BG16" s="1317"/>
      <c r="BH16" s="1317"/>
      <c r="BI16" s="1317"/>
      <c r="BJ16" s="1317"/>
      <c r="BK16" s="1317"/>
      <c r="BL16" s="1317"/>
      <c r="BM16" s="1317"/>
      <c r="BN16" s="1317"/>
      <c r="BO16" s="1317"/>
      <c r="BP16" s="1317"/>
      <c r="BQ16" s="1317"/>
      <c r="BR16" s="1317"/>
      <c r="BS16" s="1317"/>
      <c r="BT16" s="1317"/>
      <c r="BU16" s="1317"/>
      <c r="BV16" s="1318"/>
      <c r="BW16" s="1318"/>
      <c r="BX16" s="1318"/>
      <c r="BY16" s="1318"/>
      <c r="BZ16" s="1318"/>
      <c r="CA16" s="1318"/>
      <c r="CB16" s="1318"/>
      <c r="CC16" s="1318"/>
      <c r="CD16" s="1318"/>
      <c r="CE16" s="1318"/>
      <c r="CF16" s="985">
        <v>0</v>
      </c>
    </row>
    <row s="63225" customFormat="1" customHeight="1" ht="22.5" hidden="1">
      <c r="A17" s="1325"/>
      <c r="B17" s="1109"/>
      <c r="C17" s="1104"/>
      <c r="D17" s="3073"/>
      <c r="E17" s="3068" t="s">
        <v>684</v>
      </c>
      <c r="F17" s="3068"/>
      <c r="G17" s="3068"/>
      <c r="H17" s="3068"/>
      <c r="I17" s="3068"/>
      <c r="J17" s="3068"/>
      <c r="K17" s="3068"/>
      <c r="L17" s="3068"/>
      <c r="M17" s="3068"/>
      <c r="N17" s="3068"/>
      <c r="O17" s="3068"/>
      <c r="P17" s="3068"/>
      <c r="Q17" s="1250">
        <f>SUMIF(T18:T19,"i",Q18:Q19)</f>
        <v>0</v>
      </c>
      <c r="R17" s="1709"/>
      <c r="S17" s="1589" t="s">
        <v>685</v>
      </c>
      <c r="T17" s="1409" t="s">
        <v>686</v>
      </c>
      <c r="U17" s="3066">
        <v>1</v>
      </c>
      <c r="V17" s="3066" t="str">
        <f>INDEX(B_FHD_FLAG_INDEX_1,1,MATCH(A14,B_FHD_FLAG_DIFFERENTIATION,0))</f>
        <v>отсутствует</v>
      </c>
      <c r="W17" s="1109"/>
      <c r="X17" s="1109"/>
      <c r="Y17" s="1109"/>
      <c r="Z17" s="1109"/>
      <c r="AA17" s="1203"/>
      <c r="AB17" s="1109"/>
      <c r="AC17" s="3067"/>
      <c r="AD17" s="1321"/>
      <c r="AE17" s="1109"/>
      <c r="AF17" s="1109"/>
      <c r="AG17" s="1203"/>
      <c r="AH17" s="1203"/>
      <c r="AI17" s="1203"/>
      <c r="AJ17" s="1203"/>
      <c r="AK17" s="1203"/>
      <c r="AL17" s="1203"/>
      <c r="AM17" s="1203"/>
      <c r="AN17" s="1203"/>
      <c r="AO17" s="1203"/>
      <c r="AP17" s="1203"/>
      <c r="AQ17" s="1203"/>
      <c r="AR17" s="1203"/>
      <c r="AS17" s="1203"/>
      <c r="AT17" s="1203"/>
      <c r="AU17" s="1203"/>
      <c r="AV17" s="1203"/>
      <c r="AW17" s="1203"/>
      <c r="AX17" s="1203"/>
      <c r="AY17" s="1203"/>
      <c r="AZ17" s="1203"/>
      <c r="BA17" s="1203"/>
      <c r="BB17" s="1203"/>
      <c r="BC17" s="1203"/>
      <c r="BD17" s="1203"/>
      <c r="BE17" s="1203"/>
      <c r="BF17" s="1203"/>
      <c r="BG17" s="1203"/>
      <c r="BH17" s="1203"/>
      <c r="BI17" s="1203"/>
      <c r="BJ17" s="1203"/>
      <c r="BK17" s="1203"/>
      <c r="BL17" s="1203"/>
      <c r="BM17" s="1203"/>
      <c r="BN17" s="1203"/>
      <c r="BO17" s="1203"/>
      <c r="BP17" s="1203"/>
      <c r="BQ17" s="1203"/>
      <c r="BR17" s="1203"/>
      <c r="BS17" s="1203"/>
      <c r="BT17" s="1203"/>
      <c r="BU17" s="1203"/>
      <c r="BV17" s="1109"/>
      <c r="BW17" s="1109"/>
      <c r="BX17" s="1109"/>
      <c r="BY17" s="1109"/>
      <c r="BZ17" s="1109"/>
      <c r="CA17" s="1109"/>
      <c r="CB17" s="1109"/>
      <c r="CC17" s="1109"/>
      <c r="CD17" s="1109"/>
      <c r="CE17" s="1109"/>
      <c r="CF17" s="985">
        <v>0</v>
      </c>
    </row>
    <row s="63225" customFormat="1" customHeight="1" ht="11.25" hidden="1">
      <c r="A18" s="1326"/>
      <c r="B18" s="1203"/>
      <c r="C18" s="1203"/>
      <c r="D18" s="3073"/>
      <c r="E18" s="1327"/>
      <c r="F18" s="1327">
        <v>0</v>
      </c>
      <c r="G18" s="1327"/>
      <c r="H18" s="1327"/>
      <c r="I18" s="1327"/>
      <c r="J18" s="1327"/>
      <c r="K18" s="1327"/>
      <c r="L18" s="1327"/>
      <c r="M18" s="1327"/>
      <c r="N18" s="1327"/>
      <c r="O18" s="1327"/>
      <c r="P18" s="1327"/>
      <c r="Q18" s="1327"/>
      <c r="R18" s="1327"/>
      <c r="S18" s="1328"/>
      <c r="T18" s="1410"/>
      <c r="U18" s="3066"/>
      <c r="V18" s="3066"/>
      <c r="W18" s="1203"/>
      <c r="X18" s="1203"/>
      <c r="Y18" s="1203"/>
      <c r="Z18" s="1203"/>
      <c r="AA18" s="1203"/>
      <c r="AB18" s="1109"/>
      <c r="AC18" s="3067"/>
      <c r="AD18" s="1321"/>
      <c r="AE18" s="1109"/>
      <c r="AF18" s="1109"/>
      <c r="AG18" s="1203"/>
      <c r="AH18" s="1203"/>
      <c r="AI18" s="1203"/>
      <c r="AJ18" s="1203"/>
      <c r="AK18" s="1203"/>
      <c r="AL18" s="1203"/>
      <c r="AM18" s="1203"/>
      <c r="AN18" s="1203"/>
      <c r="AO18" s="1203"/>
      <c r="AP18" s="1203"/>
      <c r="AQ18" s="1203"/>
      <c r="AR18" s="1203"/>
      <c r="AS18" s="1203"/>
      <c r="AT18" s="1203"/>
      <c r="AU18" s="1203"/>
      <c r="AV18" s="1203"/>
      <c r="AW18" s="1203"/>
      <c r="AX18" s="1203"/>
      <c r="AY18" s="1203"/>
      <c r="AZ18" s="1203"/>
      <c r="BA18" s="1203"/>
      <c r="BB18" s="1203"/>
      <c r="BC18" s="1203"/>
      <c r="BD18" s="1203"/>
      <c r="BE18" s="1203"/>
      <c r="BF18" s="1203"/>
      <c r="BG18" s="1203"/>
      <c r="BH18" s="1203"/>
      <c r="BI18" s="1203"/>
      <c r="BJ18" s="1203"/>
      <c r="BK18" s="1203"/>
      <c r="BL18" s="1203"/>
      <c r="BM18" s="1203"/>
      <c r="BN18" s="1203"/>
      <c r="BO18" s="1203"/>
      <c r="BP18" s="1203"/>
      <c r="BQ18" s="1203"/>
      <c r="BR18" s="1203"/>
      <c r="BS18" s="1203"/>
      <c r="BT18" s="1203"/>
      <c r="BU18" s="1203"/>
      <c r="BV18" s="1203"/>
      <c r="BW18" s="1203"/>
      <c r="BX18" s="1203"/>
      <c r="BY18" s="1203"/>
      <c r="BZ18" s="1203"/>
      <c r="CA18" s="1203"/>
      <c r="CB18" s="1203"/>
      <c r="CC18" s="1203"/>
      <c r="CD18" s="1203"/>
      <c r="CE18" s="1203"/>
      <c r="CF18" s="985">
        <v>0</v>
      </c>
    </row>
    <row s="63225" customFormat="1" customHeight="1" ht="11.25" hidden="1">
      <c r="A19" s="1325"/>
      <c r="B19" s="1109"/>
      <c r="C19" s="1104"/>
      <c r="D19" s="3073"/>
      <c r="E19" s="1341" t="s">
        <v>28</v>
      </c>
      <c r="F19" s="1342" t="s">
        <v>28</v>
      </c>
      <c r="G19" s="1342" t="s">
        <v>28</v>
      </c>
      <c r="H19" s="1343" t="s">
        <v>28</v>
      </c>
      <c r="I19" s="1343"/>
      <c r="J19" s="1343"/>
      <c r="K19" s="1343"/>
      <c r="L19" s="1343"/>
      <c r="M19" s="1343"/>
      <c r="N19" s="1343"/>
      <c r="O19" s="1343"/>
      <c r="P19" s="1343"/>
      <c r="Q19" s="1343"/>
      <c r="R19" s="1344"/>
      <c r="S19" s="1712"/>
      <c r="T19" s="1410"/>
      <c r="U19" s="3066"/>
      <c r="V19" s="3066"/>
      <c r="W19" s="1109"/>
      <c r="X19" s="1109"/>
      <c r="Y19" s="1109"/>
      <c r="Z19" s="1109"/>
      <c r="AA19" s="1203"/>
      <c r="AB19" s="1109"/>
      <c r="AC19" s="3067"/>
      <c r="AD19" s="1321"/>
      <c r="AE19" s="1109"/>
      <c r="AF19" s="1109"/>
      <c r="AG19" s="1203"/>
      <c r="AH19" s="1203"/>
      <c r="AI19" s="1203"/>
      <c r="AJ19" s="1203"/>
      <c r="AK19" s="1203"/>
      <c r="AL19" s="1203"/>
      <c r="AM19" s="1203"/>
      <c r="AN19" s="1203"/>
      <c r="AO19" s="1203"/>
      <c r="AP19" s="1203"/>
      <c r="AQ19" s="1203"/>
      <c r="AR19" s="1203"/>
      <c r="AS19" s="1203"/>
      <c r="AT19" s="1203"/>
      <c r="AU19" s="1203"/>
      <c r="AV19" s="1203"/>
      <c r="AW19" s="1203"/>
      <c r="AX19" s="1203"/>
      <c r="AY19" s="1203"/>
      <c r="AZ19" s="1203"/>
      <c r="BA19" s="1203"/>
      <c r="BB19" s="1203"/>
      <c r="BC19" s="1203"/>
      <c r="BD19" s="1203"/>
      <c r="BE19" s="1203"/>
      <c r="BF19" s="1203"/>
      <c r="BG19" s="1203"/>
      <c r="BH19" s="1203"/>
      <c r="BI19" s="1203"/>
      <c r="BJ19" s="1203"/>
      <c r="BK19" s="1203"/>
      <c r="BL19" s="1203"/>
      <c r="BM19" s="1203"/>
      <c r="BN19" s="1203"/>
      <c r="BO19" s="1203"/>
      <c r="BP19" s="1203"/>
      <c r="BQ19" s="1203"/>
      <c r="BR19" s="1203"/>
      <c r="BS19" s="1203"/>
      <c r="BT19" s="1203"/>
      <c r="BU19" s="1203"/>
      <c r="BV19" s="1109"/>
      <c r="BW19" s="1109"/>
      <c r="BX19" s="1109"/>
      <c r="BY19" s="1109"/>
      <c r="BZ19" s="1109"/>
      <c r="CA19" s="1109"/>
      <c r="CB19" s="1109"/>
      <c r="CC19" s="1109"/>
      <c r="CD19" s="1109"/>
      <c r="CE19" s="1109"/>
      <c r="CF19" s="985">
        <v>0</v>
      </c>
    </row>
    <row s="63225" customFormat="1" customHeight="1" ht="22.5" hidden="1">
      <c r="A20" s="1325"/>
      <c r="B20" s="1109"/>
      <c r="C20" s="1104"/>
      <c r="D20" s="3073"/>
      <c r="E20" s="3068" t="s">
        <v>687</v>
      </c>
      <c r="F20" s="3068"/>
      <c r="G20" s="3068"/>
      <c r="H20" s="3068"/>
      <c r="I20" s="3068"/>
      <c r="J20" s="3068"/>
      <c r="K20" s="3068"/>
      <c r="L20" s="3068"/>
      <c r="M20" s="3068"/>
      <c r="N20" s="3068"/>
      <c r="O20" s="3068"/>
      <c r="P20" s="3068"/>
      <c r="Q20" s="1250">
        <f>SUMIF(T21:T22,"i",Q21:Q22)</f>
        <v>0</v>
      </c>
      <c r="R20" s="1709"/>
      <c r="S20" s="1401" t="s">
        <v>688</v>
      </c>
      <c r="T20" s="1409" t="s">
        <v>686</v>
      </c>
      <c r="U20" s="3066">
        <v>2</v>
      </c>
      <c r="V20" s="3066" t="str">
        <f>INDEX(B_FHD_FLAG_INDEX_2,1,MATCH(A14,B_FHD_FLAG_DIFFERENTIATION,0))</f>
        <v>отсутствует</v>
      </c>
      <c r="W20" s="1109"/>
      <c r="X20" s="1109"/>
      <c r="Y20" s="1109"/>
      <c r="Z20" s="1109"/>
      <c r="AA20" s="1203"/>
      <c r="AB20" s="1109"/>
      <c r="AC20" s="1398"/>
      <c r="AD20" s="1321"/>
      <c r="AE20" s="1109"/>
      <c r="AF20" s="1109"/>
      <c r="AG20" s="1203"/>
      <c r="AH20" s="1203"/>
      <c r="AI20" s="1203"/>
      <c r="AJ20" s="1203"/>
      <c r="AK20" s="1203"/>
      <c r="AL20" s="1203"/>
      <c r="AM20" s="1203"/>
      <c r="AN20" s="1203"/>
      <c r="AO20" s="1203"/>
      <c r="AP20" s="1203"/>
      <c r="AQ20" s="1203"/>
      <c r="AR20" s="1203"/>
      <c r="AS20" s="1203"/>
      <c r="AT20" s="1203"/>
      <c r="AU20" s="1203"/>
      <c r="AV20" s="1203"/>
      <c r="AW20" s="1203"/>
      <c r="AX20" s="1203"/>
      <c r="AY20" s="1203"/>
      <c r="AZ20" s="1203"/>
      <c r="BA20" s="1203"/>
      <c r="BB20" s="1203"/>
      <c r="BC20" s="1203"/>
      <c r="BD20" s="1203"/>
      <c r="BE20" s="1203"/>
      <c r="BF20" s="1203"/>
      <c r="BG20" s="1203"/>
      <c r="BH20" s="1203"/>
      <c r="BI20" s="1203"/>
      <c r="BJ20" s="1203"/>
      <c r="BK20" s="1203"/>
      <c r="BL20" s="1203"/>
      <c r="BM20" s="1203"/>
      <c r="BN20" s="1203"/>
      <c r="BO20" s="1203"/>
      <c r="BP20" s="1203"/>
      <c r="BQ20" s="1203"/>
      <c r="BR20" s="1203"/>
      <c r="BS20" s="1203"/>
      <c r="BT20" s="1203"/>
      <c r="BU20" s="1203"/>
      <c r="BV20" s="1109"/>
      <c r="BW20" s="1109"/>
      <c r="BX20" s="1109"/>
      <c r="BY20" s="1109"/>
      <c r="BZ20" s="1109"/>
      <c r="CA20" s="1109"/>
      <c r="CB20" s="1109"/>
      <c r="CC20" s="1109"/>
      <c r="CD20" s="1109"/>
      <c r="CE20" s="1109"/>
      <c r="CF20" s="985">
        <v>0</v>
      </c>
    </row>
    <row s="63225" customFormat="1" customHeight="1" ht="11.25" hidden="1">
      <c r="A21" s="1400"/>
      <c r="B21" s="1203"/>
      <c r="C21" s="1203"/>
      <c r="D21" s="3073"/>
      <c r="E21" s="1327"/>
      <c r="F21" s="1327">
        <v>0</v>
      </c>
      <c r="G21" s="1327"/>
      <c r="H21" s="1327"/>
      <c r="I21" s="1327"/>
      <c r="J21" s="1327"/>
      <c r="K21" s="1327"/>
      <c r="L21" s="1327"/>
      <c r="M21" s="1327"/>
      <c r="N21" s="1327"/>
      <c r="O21" s="1327"/>
      <c r="P21" s="1327"/>
      <c r="Q21" s="1327"/>
      <c r="R21" s="1327"/>
      <c r="S21" s="1328"/>
      <c r="T21" s="1410"/>
      <c r="U21" s="3066"/>
      <c r="V21" s="3066"/>
      <c r="W21" s="1203"/>
      <c r="X21" s="1203"/>
      <c r="Y21" s="1203"/>
      <c r="Z21" s="1203"/>
      <c r="AA21" s="1203"/>
      <c r="AB21" s="1109"/>
      <c r="AC21" s="1398"/>
      <c r="AD21" s="1321"/>
      <c r="AE21" s="1109"/>
      <c r="AF21" s="1109"/>
      <c r="AG21" s="1203"/>
      <c r="AH21" s="1203"/>
      <c r="AI21" s="1203"/>
      <c r="AJ21" s="1203"/>
      <c r="AK21" s="1203"/>
      <c r="AL21" s="1203"/>
      <c r="AM21" s="1203"/>
      <c r="AN21" s="1203"/>
      <c r="AO21" s="1203"/>
      <c r="AP21" s="1203"/>
      <c r="AQ21" s="1203"/>
      <c r="AR21" s="1203"/>
      <c r="AS21" s="1203"/>
      <c r="AT21" s="1203"/>
      <c r="AU21" s="1203"/>
      <c r="AV21" s="1203"/>
      <c r="AW21" s="1203"/>
      <c r="AX21" s="1203"/>
      <c r="AY21" s="1203"/>
      <c r="AZ21" s="1203"/>
      <c r="BA21" s="1203"/>
      <c r="BB21" s="1203"/>
      <c r="BC21" s="1203"/>
      <c r="BD21" s="1203"/>
      <c r="BE21" s="1203"/>
      <c r="BF21" s="1203"/>
      <c r="BG21" s="1203"/>
      <c r="BH21" s="1203"/>
      <c r="BI21" s="1203"/>
      <c r="BJ21" s="1203"/>
      <c r="BK21" s="1203"/>
      <c r="BL21" s="1203"/>
      <c r="BM21" s="1203"/>
      <c r="BN21" s="1203"/>
      <c r="BO21" s="1203"/>
      <c r="BP21" s="1203"/>
      <c r="BQ21" s="1203"/>
      <c r="BR21" s="1203"/>
      <c r="BS21" s="1203"/>
      <c r="BT21" s="1203"/>
      <c r="BU21" s="1203"/>
      <c r="BV21" s="1203"/>
      <c r="BW21" s="1203"/>
      <c r="BX21" s="1203"/>
      <c r="BY21" s="1203"/>
      <c r="BZ21" s="1203"/>
      <c r="CA21" s="1203"/>
      <c r="CB21" s="1203"/>
      <c r="CC21" s="1203"/>
      <c r="CD21" s="1203"/>
      <c r="CE21" s="1203"/>
      <c r="CF21" s="985">
        <v>0</v>
      </c>
    </row>
    <row s="63225" customFormat="1" customHeight="1" ht="11.25" hidden="1">
      <c r="A22" s="1325"/>
      <c r="B22" s="1109"/>
      <c r="C22" s="1104"/>
      <c r="D22" s="3074"/>
      <c r="E22" s="1341" t="s">
        <v>28</v>
      </c>
      <c r="F22" s="1342" t="s">
        <v>28</v>
      </c>
      <c r="G22" s="1342" t="s">
        <v>28</v>
      </c>
      <c r="H22" s="1343" t="s">
        <v>28</v>
      </c>
      <c r="I22" s="1343"/>
      <c r="J22" s="1343"/>
      <c r="K22" s="1343"/>
      <c r="L22" s="1343"/>
      <c r="M22" s="1343"/>
      <c r="N22" s="1343"/>
      <c r="O22" s="1343"/>
      <c r="P22" s="1343"/>
      <c r="Q22" s="1343"/>
      <c r="R22" s="1344"/>
      <c r="S22" s="1712"/>
      <c r="T22" s="1410"/>
      <c r="U22" s="3066"/>
      <c r="V22" s="3066"/>
      <c r="W22" s="1109"/>
      <c r="X22" s="1109"/>
      <c r="Y22" s="1109"/>
      <c r="Z22" s="1109"/>
      <c r="AA22" s="1203"/>
      <c r="AB22" s="1109"/>
      <c r="AC22" s="1398"/>
      <c r="AD22" s="1321"/>
      <c r="AE22" s="1109"/>
      <c r="AF22" s="1109"/>
      <c r="AG22" s="1203"/>
      <c r="AH22" s="1203"/>
      <c r="AI22" s="1203"/>
      <c r="AJ22" s="1203"/>
      <c r="AK22" s="1203"/>
      <c r="AL22" s="1203"/>
      <c r="AM22" s="1203"/>
      <c r="AN22" s="1203"/>
      <c r="AO22" s="1203"/>
      <c r="AP22" s="1203"/>
      <c r="AQ22" s="1203"/>
      <c r="AR22" s="1203"/>
      <c r="AS22" s="1203"/>
      <c r="AT22" s="1203"/>
      <c r="AU22" s="1203"/>
      <c r="AV22" s="1203"/>
      <c r="AW22" s="1203"/>
      <c r="AX22" s="1203"/>
      <c r="AY22" s="1203"/>
      <c r="AZ22" s="1203"/>
      <c r="BA22" s="1203"/>
      <c r="BB22" s="1203"/>
      <c r="BC22" s="1203"/>
      <c r="BD22" s="1203"/>
      <c r="BE22" s="1203"/>
      <c r="BF22" s="1203"/>
      <c r="BG22" s="1203"/>
      <c r="BH22" s="1203"/>
      <c r="BI22" s="1203"/>
      <c r="BJ22" s="1203"/>
      <c r="BK22" s="1203"/>
      <c r="BL22" s="1203"/>
      <c r="BM22" s="1203"/>
      <c r="BN22" s="1203"/>
      <c r="BO22" s="1203"/>
      <c r="BP22" s="1203"/>
      <c r="BQ22" s="1203"/>
      <c r="BR22" s="1203"/>
      <c r="BS22" s="1203"/>
      <c r="BT22" s="1203"/>
      <c r="BU22" s="1203"/>
      <c r="BV22" s="1109"/>
      <c r="BW22" s="1109"/>
      <c r="BX22" s="1109"/>
      <c r="BY22" s="1109"/>
      <c r="BZ22" s="1109"/>
      <c r="CA22" s="1109"/>
      <c r="CB22" s="1109"/>
      <c r="CC22" s="1109"/>
      <c r="CD22" s="1109"/>
      <c r="CE22" s="1109"/>
      <c r="CF22" s="985">
        <v>0</v>
      </c>
    </row>
    <row customHeight="1" ht="19.95">
      <c r="D23" s="1739"/>
      <c r="E23" s="1739"/>
      <c r="F23" s="1739"/>
      <c r="G23" s="1739"/>
      <c r="H23" s="1739"/>
      <c r="I23" s="1739"/>
      <c r="J23" s="1739"/>
      <c r="K23" s="1739"/>
      <c r="L23" s="1739"/>
      <c r="M23" s="1739"/>
      <c r="N23" s="1739"/>
      <c r="O23" s="1739"/>
      <c r="P23" s="1739"/>
      <c r="Q23" s="1739"/>
      <c r="R23" s="1739"/>
      <c r="S23" s="1739"/>
      <c r="T23" s="1026"/>
      <c r="CF23" s="1197">
        <v>19</v>
      </c>
    </row>
    <row customHeight="1" ht="11.549999999999999">
      <c r="D24" s="1201"/>
      <c r="CF24" s="1197">
        <v>11</v>
      </c>
    </row>
    <row customHeight="1" ht="11.549999999999999">
      <c r="D25" s="1346"/>
      <c r="E25" s="1346"/>
      <c r="F25" s="1346"/>
      <c r="G25" s="1347"/>
      <c r="CF25" s="1197">
        <v>11</v>
      </c>
    </row>
    <row customHeight="1" ht="11.549999999999999">
      <c r="CF26" s="1197">
        <v>11</v>
      </c>
    </row>
    <row customHeight="1" ht="11.549999999999999">
      <c r="D27" s="1348"/>
      <c r="E27" s="3076"/>
      <c r="F27" s="3076"/>
      <c r="G27" s="3076"/>
      <c r="H27" s="3076"/>
      <c r="I27" s="3076"/>
      <c r="J27" s="3076"/>
      <c r="K27" s="3076"/>
      <c r="L27" s="3076"/>
      <c r="M27" s="3076"/>
      <c r="N27" s="3076"/>
      <c r="O27" s="3076"/>
      <c r="P27" s="3076"/>
      <c r="Q27" s="3076"/>
      <c r="R27" s="3076"/>
      <c r="CF27" s="1197">
        <v>11</v>
      </c>
    </row>
    <row customHeight="1" ht="11.549999999999999">
      <c r="F28" s="1450"/>
      <c r="G28" s="1450"/>
      <c r="CF28" s="1197">
        <v>11</v>
      </c>
    </row>
    <row customHeight="1" ht="11.25" hidden="1">
      <c r="A29" s="1302" t="s">
        <v>83</v>
      </c>
      <c r="B29" s="1141">
        <v>0</v>
      </c>
      <c r="C29" s="1197">
        <v>3</v>
      </c>
      <c r="D29" s="1197">
        <v>0</v>
      </c>
      <c r="E29" s="1197">
        <v>7</v>
      </c>
      <c r="F29" s="1197">
        <v>7</v>
      </c>
      <c r="G29" s="1197">
        <v>29</v>
      </c>
      <c r="H29" s="1197">
        <v>3</v>
      </c>
      <c r="I29" s="1197">
        <v>5</v>
      </c>
      <c r="J29" s="1197">
        <v>24</v>
      </c>
      <c r="K29" s="1197">
        <v>24</v>
      </c>
      <c r="L29" s="1197">
        <v>3</v>
      </c>
      <c r="M29" s="1197">
        <v>6</v>
      </c>
      <c r="N29" s="1197">
        <v>25</v>
      </c>
      <c r="O29" s="1197">
        <v>18</v>
      </c>
      <c r="P29" s="1197">
        <v>18</v>
      </c>
      <c r="Q29" s="1197">
        <v>18</v>
      </c>
      <c r="R29" s="1197">
        <v>18</v>
      </c>
      <c r="S29" s="1197">
        <v>93</v>
      </c>
      <c r="T29" s="1197">
        <v>10</v>
      </c>
      <c r="U29" s="1303">
        <v>10</v>
      </c>
      <c r="V29" s="1303">
        <v>11</v>
      </c>
      <c r="W29" s="1304">
        <v>10</v>
      </c>
      <c r="X29" s="1141">
        <v>10</v>
      </c>
      <c r="Y29" s="1141">
        <v>10</v>
      </c>
      <c r="Z29" s="1141">
        <v>10</v>
      </c>
      <c r="AA29" s="1141">
        <v>10</v>
      </c>
      <c r="AB29" s="1197">
        <v>8</v>
      </c>
      <c r="AC29" s="1197">
        <v>8</v>
      </c>
      <c r="AD29" s="1197">
        <v>8</v>
      </c>
      <c r="AE29" s="1197">
        <v>8</v>
      </c>
      <c r="AF29" s="1197">
        <v>8</v>
      </c>
      <c r="AG29" s="1197">
        <v>8</v>
      </c>
      <c r="AH29" s="1197">
        <v>8</v>
      </c>
      <c r="AI29" s="1197">
        <v>8</v>
      </c>
      <c r="AJ29" s="1197">
        <v>8</v>
      </c>
      <c r="AK29" s="1197">
        <v>8</v>
      </c>
      <c r="AL29" s="1197">
        <v>8</v>
      </c>
      <c r="AM29" s="1197">
        <v>8</v>
      </c>
      <c r="AN29" s="1197">
        <v>8</v>
      </c>
      <c r="AO29" s="1197">
        <v>8</v>
      </c>
      <c r="AP29" s="1197">
        <v>8</v>
      </c>
      <c r="AQ29" s="1197">
        <v>8</v>
      </c>
      <c r="AR29" s="1197">
        <v>8</v>
      </c>
      <c r="AS29" s="1197">
        <v>8</v>
      </c>
      <c r="AT29" s="1197">
        <v>8</v>
      </c>
      <c r="AU29" s="1197">
        <v>8</v>
      </c>
      <c r="AV29" s="1197">
        <v>8</v>
      </c>
      <c r="AW29" s="1197">
        <v>8</v>
      </c>
      <c r="AX29" s="1197">
        <v>8</v>
      </c>
      <c r="AY29" s="1197">
        <v>8</v>
      </c>
      <c r="AZ29" s="1197">
        <v>8</v>
      </c>
      <c r="BA29" s="1197">
        <v>8</v>
      </c>
      <c r="BB29" s="1197">
        <v>8</v>
      </c>
      <c r="BC29" s="1197">
        <v>8</v>
      </c>
      <c r="BD29" s="1197">
        <v>8</v>
      </c>
      <c r="BE29" s="1197">
        <v>8</v>
      </c>
      <c r="BF29" s="1197">
        <v>8</v>
      </c>
      <c r="BG29" s="1197">
        <v>8</v>
      </c>
      <c r="BH29" s="1197">
        <v>8</v>
      </c>
      <c r="BI29" s="1197">
        <v>8</v>
      </c>
      <c r="BJ29" s="1197">
        <v>8</v>
      </c>
      <c r="BK29" s="1197">
        <v>8</v>
      </c>
      <c r="BL29" s="1197">
        <v>8</v>
      </c>
      <c r="BM29" s="1197">
        <v>8</v>
      </c>
      <c r="BN29" s="1197">
        <v>8</v>
      </c>
      <c r="BO29" s="1197">
        <v>8</v>
      </c>
      <c r="BP29" s="1197">
        <v>8</v>
      </c>
      <c r="BQ29" s="1197">
        <v>8</v>
      </c>
      <c r="BR29" s="1197">
        <v>8</v>
      </c>
      <c r="BS29" s="1197">
        <v>8</v>
      </c>
      <c r="BT29" s="1197">
        <v>8</v>
      </c>
      <c r="BU29" s="1197">
        <v>8</v>
      </c>
      <c r="BV29" s="1197">
        <v>8</v>
      </c>
      <c r="BW29" s="1197">
        <v>8</v>
      </c>
      <c r="BX29" s="1197">
        <v>8</v>
      </c>
      <c r="BY29" s="1197">
        <v>8</v>
      </c>
      <c r="BZ29" s="1197">
        <v>8</v>
      </c>
      <c r="CA29" s="1197">
        <v>8</v>
      </c>
      <c r="CB29" s="1197">
        <v>8</v>
      </c>
      <c r="CC29" s="1197">
        <v>8</v>
      </c>
      <c r="CD29" s="1197">
        <v>8</v>
      </c>
      <c r="CE29" s="1197">
        <v>8</v>
      </c>
      <c r="CF29" s="1197">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465808-E3DF-052C-51D8-56987E4E1E9C}"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61672" width="10.7109375" hidden="1" customWidth="1"/>
    <col min="6" max="6" style="62148" width="16.8515625" hidden="1" customWidth="1"/>
    <col min="7" max="7" style="61695" width="5.57421875" hidden="1" customWidth="1"/>
    <col min="8" max="8" style="62286" width="3.00390625" customWidth="1"/>
    <col min="9" max="9" style="62286" width="7.00390625" customWidth="1"/>
    <col min="10" max="10" style="62286" width="56.00390625" customWidth="1"/>
    <col min="11" max="11" style="62286" width="10.00390625" customWidth="1"/>
    <col min="12" max="12" style="62286" width="40.57421875" hidden="1" customWidth="1"/>
    <col min="13" max="13" style="62286" width="40.7109375" customWidth="1"/>
    <col min="14" max="14" style="62148" width="9.7109375" hidden="1" customWidth="1"/>
    <col min="15" max="15" style="62286" width="102.00390625" customWidth="1"/>
    <col min="16" max="16" style="62148" width="9.00390625" customWidth="1"/>
    <col min="17" max="17" style="61695" width="5.00390625" customWidth="1"/>
    <col min="18" max="18" style="61695" width="3.00390625" customWidth="1"/>
    <col min="19" max="22" style="62148" width="3.00390625" customWidth="1"/>
    <col min="23" max="23" style="61695" width="10.00390625" customWidth="1"/>
    <col min="24" max="24" style="62148" width="34.00390625" customWidth="1"/>
    <col min="25" max="25" style="62148" width="9.00390625" customWidth="1"/>
    <col min="26" max="26" style="61673" width="8.00390625" customWidth="1"/>
    <col min="27" max="31" style="62148" width="8.00390625" customWidth="1"/>
    <col min="32" max="36" style="62759" width="8.00390625" customWidth="1"/>
    <col min="37" max="37" style="62286" width="5.421875" hidden="1" customWidth="1"/>
  </cols>
  <sheetData>
    <row s="62148" customFormat="1" customHeight="1" ht="33.75" hidden="1">
      <c r="A1" s="1679"/>
      <c r="B1" s="1679"/>
      <c r="C1" s="1679"/>
      <c r="D1" s="1679"/>
      <c r="E1" s="1679"/>
      <c r="G1" s="2328"/>
      <c r="H1" s="1570"/>
      <c r="L1" s="2058">
        <v>4</v>
      </c>
      <c r="M1" s="2058">
        <v>4</v>
      </c>
      <c r="Q1" s="2328"/>
      <c r="R1" s="2328"/>
      <c r="W1" s="2328"/>
      <c r="AK1" s="2058" t="s">
        <v>14</v>
      </c>
    </row>
    <row s="62148" customFormat="1" customHeight="1" ht="78.75" hidden="1">
      <c r="A2" s="1679"/>
      <c r="B2" s="2745" t="s">
        <v>689</v>
      </c>
      <c r="C2" s="2745" t="s">
        <v>690</v>
      </c>
      <c r="D2" s="2744" t="s">
        <v>691</v>
      </c>
      <c r="E2" s="2748">
        <f>RIGHT(I2,LEN(I2)-SEARCH("#",SUBSTITUTE(I2,".","#",LEN(I2)-LEN(SUBSTITUTE(I2,".","")))))</f>
      </c>
      <c r="F2" s="2750">
        <f>J2</f>
        <v>0</v>
      </c>
      <c r="G2" s="2328"/>
      <c r="H2" s="2751"/>
      <c r="I2" s="2741"/>
      <c r="J2" s="1232"/>
      <c r="K2" s="2711" t="s">
        <v>630</v>
      </c>
      <c r="L2" s="1443"/>
      <c r="M2" s="1443"/>
      <c r="N2" s="1235"/>
      <c r="O2" s="2217" t="s">
        <v>631</v>
      </c>
      <c r="P2" s="1235"/>
      <c r="Q2" s="2328"/>
      <c r="R2" s="2328"/>
      <c r="W2" s="2328"/>
      <c r="Z2" s="1236"/>
      <c r="AF2" s="2324"/>
      <c r="AG2" s="2324"/>
      <c r="AH2" s="2324"/>
      <c r="AI2" s="2324"/>
      <c r="AJ2" s="2324"/>
      <c r="AK2" s="2058">
        <v>0</v>
      </c>
    </row>
    <row customHeight="1" ht="11.25" hidden="1">
      <c r="E3" s="2743" t="s">
        <v>692</v>
      </c>
      <c r="L3" s="2323">
        <f>0</f>
        <v>0</v>
      </c>
      <c r="M3" s="2323">
        <v>1</v>
      </c>
      <c r="AK3" s="2323">
        <v>0</v>
      </c>
    </row>
    <row s="62759" customFormat="1" customHeight="1" ht="11.25" hidden="1">
      <c r="A4" s="1679"/>
      <c r="B4" s="1679"/>
      <c r="C4" s="1679"/>
      <c r="E4" s="1679"/>
      <c r="F4" s="2058"/>
      <c r="G4" s="2328"/>
      <c r="H4" s="1312"/>
      <c r="N4" s="2058"/>
      <c r="O4" s="2324">
        <v>4</v>
      </c>
      <c r="P4" s="2058"/>
      <c r="Q4" s="2328"/>
      <c r="R4" s="2328"/>
      <c r="S4" s="2058"/>
      <c r="T4" s="2058"/>
      <c r="U4" s="2058"/>
      <c r="V4" s="2058"/>
      <c r="W4" s="2328"/>
      <c r="X4" s="2058"/>
      <c r="Y4" s="2058"/>
      <c r="Z4" s="1236"/>
      <c r="AA4" s="2058"/>
      <c r="AB4" s="2058"/>
      <c r="AC4" s="2058"/>
      <c r="AD4" s="2058"/>
      <c r="AE4" s="2058"/>
      <c r="AK4" s="2324">
        <v>0</v>
      </c>
    </row>
    <row customHeight="1" ht="11.549999999999999">
      <c r="AK5" s="2323">
        <v>11</v>
      </c>
    </row>
    <row customHeight="1" ht="57.75">
      <c r="I6" s="2999" t="s">
        <v>693</v>
      </c>
      <c r="J6" s="2999"/>
      <c r="K6" s="2999"/>
      <c r="L6" s="2999"/>
      <c r="M6" s="2999"/>
      <c r="O6" s="1248"/>
      <c r="AK6" s="2323">
        <v>55</v>
      </c>
    </row>
    <row customHeight="1" ht="25.2">
      <c r="I7" s="2941" t="str">
        <f>IF(org=0,"Не определено",org)</f>
        <v>АО "ДГК"</v>
      </c>
      <c r="J7" s="2941"/>
      <c r="K7" s="2941"/>
      <c r="L7" s="2941"/>
      <c r="M7" s="2941"/>
      <c r="AK7" s="2323">
        <v>24</v>
      </c>
    </row>
    <row customHeight="1" ht="11.549999999999999">
      <c r="I8" s="1827"/>
      <c r="J8" s="1827"/>
      <c r="K8" s="1827"/>
      <c r="L8" s="1827"/>
      <c r="M8" s="1827"/>
      <c r="AK8" s="2323">
        <v>11</v>
      </c>
    </row>
    <row s="61695" customFormat="1" customHeight="1" ht="30" hidden="1">
      <c r="A9" s="1859"/>
      <c r="B9" s="1859"/>
      <c r="C9" s="1859"/>
      <c r="E9" s="1859"/>
      <c r="H9" s="2334"/>
      <c r="L9" s="1581"/>
      <c r="M9" s="1581" t="s">
        <v>125</v>
      </c>
      <c r="AK9" s="2328">
        <v>1</v>
      </c>
    </row>
    <row customHeight="1" ht="11.549999999999999">
      <c r="E10" s="2742" t="s">
        <v>694</v>
      </c>
      <c r="I10" s="1403"/>
      <c r="J10" s="3059" t="s">
        <v>114</v>
      </c>
      <c r="K10" s="3060"/>
      <c r="L10" s="2721" t="str">
        <f>IF(L9="","",INDEX(DIFFERENTIATION_UNMERGE_VD,MATCH(L9,DIFFERENTIATION_ID_DIFF,0)))</f>
        <v/>
      </c>
      <c r="M10" s="2721">
        <f>IF(M9="","",INDEX(DIFFERENTIATION_UNMERGE_VD,MATCH(M9,DIFFERENTIATION_ID_DIFF,0)))</f>
        <v>0</v>
      </c>
      <c r="O10" s="2819" t="s">
        <v>376</v>
      </c>
      <c r="AK10" s="2323">
        <v>11</v>
      </c>
    </row>
    <row customHeight="1" ht="11.549999999999999">
      <c r="E11" s="2742" t="s">
        <v>695</v>
      </c>
      <c r="I11" s="1403"/>
      <c r="J11" s="3059" t="s">
        <v>638</v>
      </c>
      <c r="K11" s="3060"/>
      <c r="L11" s="2721" t="str">
        <f>IF(L9="","",INDEX(DIFFERENTIATION_UNMERGE_AREA,MATCH(L9,DIFFERENTIATION_ID_DIFF,0)))</f>
        <v/>
      </c>
      <c r="M11" s="2721" t="str">
        <f>IF(M9="","",INDEX(DIFFERENTIATION_UNMERGE_AREA,MATCH(M9,DIFFERENTIATION_ID_DIFF,0)))</f>
        <v/>
      </c>
      <c r="O11" s="2819"/>
      <c r="AK11" s="2323">
        <v>11</v>
      </c>
    </row>
    <row customHeight="1" ht="11.549999999999999">
      <c r="E12" s="2742" t="s">
        <v>696</v>
      </c>
      <c r="I12" s="2354"/>
      <c r="J12" s="3059" t="s">
        <v>639</v>
      </c>
      <c r="K12" s="3060"/>
      <c r="L12" s="2721" t="str">
        <f>IF(L9="","",INDEX(DIFFERENTIATION_UNMERGE_SYSTEM,MATCH(L9,DIFFERENTIATION_ID_DIFF,0)))</f>
        <v/>
      </c>
      <c r="M12" s="2721" t="str">
        <f>IF(M9="","",INDEX(DIFFERENTIATION_UNMERGE_SYSTEM,MATCH(M9,DIFFERENTIATION_ID_DIFF,0)))</f>
        <v>без дифференциации</v>
      </c>
      <c r="O12" s="2819"/>
      <c r="AK12" s="2323">
        <v>11</v>
      </c>
    </row>
    <row customHeight="1" ht="11.549999999999999">
      <c r="E13" s="2742" t="s">
        <v>697</v>
      </c>
      <c r="F13" s="2742" t="s">
        <v>698</v>
      </c>
      <c r="I13" s="3061" t="s">
        <v>375</v>
      </c>
      <c r="J13" s="3062"/>
      <c r="K13" s="3062"/>
      <c r="L13" s="2719"/>
      <c r="M13" s="2759"/>
      <c r="O13" s="2819"/>
      <c r="AK13" s="2323">
        <v>11</v>
      </c>
    </row>
    <row customHeight="1" ht="24">
      <c r="I14" s="2712" t="s">
        <v>89</v>
      </c>
      <c r="J14" s="2712" t="s">
        <v>377</v>
      </c>
      <c r="K14" s="2712" t="s">
        <v>640</v>
      </c>
      <c r="L14" s="2752" t="s">
        <v>378</v>
      </c>
      <c r="M14" s="2753" t="s">
        <v>378</v>
      </c>
      <c r="O14" s="2819"/>
      <c r="AK14" s="2323">
        <v>23</v>
      </c>
    </row>
    <row customHeight="1" ht="24">
      <c r="A15" s="2746"/>
      <c r="B15" s="2745" t="s">
        <v>699</v>
      </c>
      <c r="C15" s="2745" t="s">
        <v>700</v>
      </c>
      <c r="D15" s="2744" t="s">
        <v>701</v>
      </c>
      <c r="E15" s="2748" t="s">
        <v>702</v>
      </c>
      <c r="F15" s="2748" t="s">
        <v>702</v>
      </c>
      <c r="G15" s="2328" t="s">
        <v>662</v>
      </c>
      <c r="H15" s="2713"/>
      <c r="I15" s="2322">
        <v>1</v>
      </c>
      <c r="J15" s="2714" t="s">
        <v>703</v>
      </c>
      <c r="K15" s="2712" t="s">
        <v>381</v>
      </c>
      <c r="L15" s="1354"/>
      <c r="M15" s="1510"/>
      <c r="N15" s="1235" t="s">
        <v>704</v>
      </c>
      <c r="O15" s="2217" t="s">
        <v>705</v>
      </c>
      <c r="P15" s="1235" t="s">
        <v>704</v>
      </c>
      <c r="AK15" s="2323">
        <v>23</v>
      </c>
    </row>
    <row customHeight="1" ht="35.699999999999996">
      <c r="A16" s="2746"/>
      <c r="B16" s="2745" t="s">
        <v>706</v>
      </c>
      <c r="C16" s="2745" t="s">
        <v>707</v>
      </c>
      <c r="D16" s="2744" t="s">
        <v>691</v>
      </c>
      <c r="E16" s="2748" t="s">
        <v>702</v>
      </c>
      <c r="F16" s="2748" t="s">
        <v>702</v>
      </c>
      <c r="H16" s="2713"/>
      <c r="I16" s="2321">
        <v>2</v>
      </c>
      <c r="J16" s="2755" t="s">
        <v>708</v>
      </c>
      <c r="K16" s="2754" t="s">
        <v>630</v>
      </c>
      <c r="L16" s="2760"/>
      <c r="M16" s="2368"/>
      <c r="N16" s="1235" t="s">
        <v>704</v>
      </c>
      <c r="O16" s="2217" t="s">
        <v>709</v>
      </c>
      <c r="P16" s="1235" t="s">
        <v>704</v>
      </c>
      <c r="AK16" s="2323">
        <v>34</v>
      </c>
    </row>
    <row s="61695" customFormat="1" customHeight="1" ht="17.25" hidden="1">
      <c r="A17" s="1859"/>
      <c r="B17" s="1859"/>
      <c r="C17" s="1859"/>
      <c r="D17" s="1859"/>
      <c r="E17" s="1859"/>
      <c r="H17" s="2016"/>
      <c r="I17" s="1705" t="s">
        <v>710</v>
      </c>
      <c r="J17" s="1683"/>
      <c r="K17" s="1705"/>
      <c r="L17" s="1684"/>
      <c r="M17" s="1684"/>
      <c r="O17" s="2077"/>
      <c r="AK17" s="2328">
        <v>1</v>
      </c>
    </row>
    <row s="62148" customFormat="1" customHeight="1" ht="24">
      <c r="A18" s="1679"/>
      <c r="B18" s="1679"/>
      <c r="C18" s="1679"/>
      <c r="D18" s="1679"/>
      <c r="E18" s="1679"/>
      <c r="G18" s="2328"/>
      <c r="H18" s="2325"/>
      <c r="I18" s="1262"/>
      <c r="J18" s="1263" t="s">
        <v>660</v>
      </c>
      <c r="K18" s="1264"/>
      <c r="L18" s="2762"/>
      <c r="M18" s="1265"/>
      <c r="N18" s="1235"/>
      <c r="O18" s="2217" t="s">
        <v>661</v>
      </c>
      <c r="P18" s="1235"/>
      <c r="Q18" s="2328"/>
      <c r="R18" s="2328"/>
      <c r="W18" s="2328"/>
      <c r="Z18" s="1236"/>
      <c r="AF18" s="2324"/>
      <c r="AG18" s="2324"/>
      <c r="AH18" s="2324"/>
      <c r="AI18" s="2324"/>
      <c r="AJ18" s="2324"/>
      <c r="AK18" s="2058">
        <v>23</v>
      </c>
    </row>
    <row customHeight="1" ht="19.95">
      <c r="A19" s="2746"/>
      <c r="B19" s="2745" t="s">
        <v>711</v>
      </c>
      <c r="C19" s="2745" t="s">
        <v>712</v>
      </c>
      <c r="D19" s="2744" t="s">
        <v>691</v>
      </c>
      <c r="E19" s="2748" t="s">
        <v>702</v>
      </c>
      <c r="F19" s="2748" t="s">
        <v>702</v>
      </c>
      <c r="H19" s="2713"/>
      <c r="I19" s="2356">
        <v>3</v>
      </c>
      <c r="J19" s="2714" t="s">
        <v>712</v>
      </c>
      <c r="K19" s="2710" t="s">
        <v>630</v>
      </c>
      <c r="L19" s="1419"/>
      <c r="M19" s="1249"/>
      <c r="N19" s="1235"/>
      <c r="O19" s="2217" t="s">
        <v>713</v>
      </c>
      <c r="P19" s="1235"/>
      <c r="AK19" s="2323">
        <v>19</v>
      </c>
    </row>
    <row customHeight="1" ht="77.7">
      <c r="A20" s="2746"/>
      <c r="B20" s="2745" t="s">
        <v>714</v>
      </c>
      <c r="C20" s="2745" t="s">
        <v>715</v>
      </c>
      <c r="D20" s="2744" t="s">
        <v>691</v>
      </c>
      <c r="E20" s="2748" t="s">
        <v>702</v>
      </c>
      <c r="F20" s="2748" t="s">
        <v>702</v>
      </c>
      <c r="H20" s="2713"/>
      <c r="I20" s="2356">
        <v>4</v>
      </c>
      <c r="J20" s="2714" t="s">
        <v>716</v>
      </c>
      <c r="K20" s="2710" t="s">
        <v>657</v>
      </c>
      <c r="L20" s="1419"/>
      <c r="M20" s="1249"/>
      <c r="N20" s="1235"/>
      <c r="O20" s="2217"/>
      <c r="P20" s="1235"/>
      <c r="AK20" s="2323">
        <v>74</v>
      </c>
    </row>
    <row customHeight="1" ht="35.699999999999996">
      <c r="A21" s="2746"/>
      <c r="B21" s="2745" t="s">
        <v>717</v>
      </c>
      <c r="C21" s="2745" t="s">
        <v>718</v>
      </c>
      <c r="D21" s="2744" t="s">
        <v>691</v>
      </c>
      <c r="E21" s="2748" t="s">
        <v>702</v>
      </c>
      <c r="F21" s="2748" t="s">
        <v>702</v>
      </c>
      <c r="H21" s="2713"/>
      <c r="I21" s="2356">
        <v>5</v>
      </c>
      <c r="J21" s="2714" t="s">
        <v>719</v>
      </c>
      <c r="K21" s="2710" t="s">
        <v>657</v>
      </c>
      <c r="L21" s="1419"/>
      <c r="M21" s="1249"/>
      <c r="N21" s="1235"/>
      <c r="O21" s="2217" t="s">
        <v>713</v>
      </c>
      <c r="P21" s="1235"/>
      <c r="AK21" s="2323">
        <v>34</v>
      </c>
    </row>
    <row customHeight="1" ht="48.29999999999999">
      <c r="A22" s="2746"/>
      <c r="B22" s="2745" t="s">
        <v>720</v>
      </c>
      <c r="C22" s="2745" t="s">
        <v>721</v>
      </c>
      <c r="D22" s="2744" t="s">
        <v>691</v>
      </c>
      <c r="E22" s="2748" t="s">
        <v>702</v>
      </c>
      <c r="F22" s="2748" t="s">
        <v>702</v>
      </c>
      <c r="H22" s="2713"/>
      <c r="I22" s="2356">
        <v>6</v>
      </c>
      <c r="J22" s="2714" t="s">
        <v>722</v>
      </c>
      <c r="K22" s="2710" t="s">
        <v>657</v>
      </c>
      <c r="L22" s="1419"/>
      <c r="M22" s="1249"/>
      <c r="N22" s="1235"/>
      <c r="O22" s="2217" t="s">
        <v>723</v>
      </c>
      <c r="P22" s="1235"/>
      <c r="AK22" s="2323">
        <v>46</v>
      </c>
    </row>
    <row customHeight="1" ht="19.95">
      <c r="A23" s="2746"/>
      <c r="B23" s="2745" t="s">
        <v>724</v>
      </c>
      <c r="C23" s="2745" t="s">
        <v>725</v>
      </c>
      <c r="D23" s="2744" t="s">
        <v>691</v>
      </c>
      <c r="E23" s="2748" t="s">
        <v>702</v>
      </c>
      <c r="F23" s="2748" t="s">
        <v>702</v>
      </c>
      <c r="H23" s="2713"/>
      <c r="I23" s="2356" t="s">
        <v>726</v>
      </c>
      <c r="J23" s="2216" t="s">
        <v>727</v>
      </c>
      <c r="K23" s="2710" t="s">
        <v>657</v>
      </c>
      <c r="L23" s="1419"/>
      <c r="M23" s="1249"/>
      <c r="N23" s="1235"/>
      <c r="O23" s="2217" t="s">
        <v>713</v>
      </c>
      <c r="P23" s="1235"/>
      <c r="AK23" s="2323">
        <v>19</v>
      </c>
    </row>
    <row customHeight="1" ht="19.95">
      <c r="A24" s="2746"/>
      <c r="B24" s="2745" t="s">
        <v>728</v>
      </c>
      <c r="C24" s="2745" t="s">
        <v>729</v>
      </c>
      <c r="D24" s="2744" t="s">
        <v>691</v>
      </c>
      <c r="E24" s="2748" t="s">
        <v>702</v>
      </c>
      <c r="F24" s="2748" t="s">
        <v>702</v>
      </c>
      <c r="H24" s="2713"/>
      <c r="I24" s="2356" t="s">
        <v>730</v>
      </c>
      <c r="J24" s="2216" t="s">
        <v>731</v>
      </c>
      <c r="K24" s="2710" t="s">
        <v>657</v>
      </c>
      <c r="L24" s="1419"/>
      <c r="M24" s="1249"/>
      <c r="N24" s="1235"/>
      <c r="O24" s="2217"/>
      <c r="P24" s="1235"/>
      <c r="AK24" s="2323">
        <v>19</v>
      </c>
    </row>
    <row customHeight="1" ht="24">
      <c r="A25" s="2746"/>
      <c r="B25" s="2745" t="s">
        <v>732</v>
      </c>
      <c r="C25" s="2745" t="s">
        <v>733</v>
      </c>
      <c r="D25" s="2744" t="s">
        <v>691</v>
      </c>
      <c r="E25" s="2748" t="s">
        <v>702</v>
      </c>
      <c r="F25" s="2748" t="s">
        <v>702</v>
      </c>
      <c r="H25" s="2713"/>
      <c r="I25" s="2356" t="s">
        <v>734</v>
      </c>
      <c r="J25" s="2216" t="s">
        <v>735</v>
      </c>
      <c r="K25" s="2710" t="s">
        <v>657</v>
      </c>
      <c r="L25" s="1419"/>
      <c r="M25" s="1249"/>
      <c r="N25" s="1235"/>
      <c r="O25" s="2217"/>
      <c r="P25" s="1235"/>
      <c r="AK25" s="2323">
        <v>23</v>
      </c>
    </row>
    <row customHeight="1" ht="24">
      <c r="A26" s="2746"/>
      <c r="B26" s="2745" t="s">
        <v>736</v>
      </c>
      <c r="C26" s="2745" t="s">
        <v>737</v>
      </c>
      <c r="D26" s="2744" t="s">
        <v>691</v>
      </c>
      <c r="E26" s="2748" t="s">
        <v>702</v>
      </c>
      <c r="F26" s="2748" t="s">
        <v>702</v>
      </c>
      <c r="H26" s="2713"/>
      <c r="I26" s="2356">
        <v>7</v>
      </c>
      <c r="J26" s="2714" t="s">
        <v>737</v>
      </c>
      <c r="K26" s="2710" t="s">
        <v>738</v>
      </c>
      <c r="L26" s="1419"/>
      <c r="M26" s="1249"/>
      <c r="N26" s="1235"/>
      <c r="O26" s="2217"/>
      <c r="P26" s="1235"/>
      <c r="AK26" s="2323">
        <v>23</v>
      </c>
    </row>
    <row customHeight="1" ht="24">
      <c r="A27" s="2746"/>
      <c r="B27" s="2745" t="s">
        <v>739</v>
      </c>
      <c r="C27" s="2745" t="s">
        <v>740</v>
      </c>
      <c r="D27" s="2744" t="s">
        <v>691</v>
      </c>
      <c r="E27" s="2748" t="s">
        <v>702</v>
      </c>
      <c r="F27" s="2748" t="s">
        <v>702</v>
      </c>
      <c r="H27" s="2713"/>
      <c r="I27" s="2356">
        <v>8</v>
      </c>
      <c r="J27" s="2714" t="s">
        <v>740</v>
      </c>
      <c r="K27" s="2710" t="s">
        <v>663</v>
      </c>
      <c r="L27" s="1419"/>
      <c r="M27" s="1249"/>
      <c r="N27" s="1235"/>
      <c r="O27" s="2217"/>
      <c r="P27" s="1235"/>
      <c r="AK27" s="2323">
        <v>23</v>
      </c>
    </row>
    <row customHeight="1" ht="35.699999999999996">
      <c r="A28" s="2746"/>
      <c r="B28" s="2745" t="s">
        <v>741</v>
      </c>
      <c r="C28" s="2745" t="s">
        <v>742</v>
      </c>
      <c r="D28" s="2744" t="s">
        <v>691</v>
      </c>
      <c r="E28" s="2748" t="s">
        <v>702</v>
      </c>
      <c r="F28" s="2748" t="s">
        <v>702</v>
      </c>
      <c r="H28" s="2713"/>
      <c r="I28" s="2367">
        <v>9</v>
      </c>
      <c r="J28" s="2714" t="s">
        <v>743</v>
      </c>
      <c r="K28" s="2710" t="s">
        <v>634</v>
      </c>
      <c r="L28" s="1419"/>
      <c r="M28" s="1249"/>
      <c r="N28" s="1235"/>
      <c r="O28" s="2217"/>
      <c r="P28" s="1235"/>
      <c r="AK28" s="2323">
        <v>34</v>
      </c>
    </row>
    <row customHeight="1" ht="35.699999999999996">
      <c r="A29" s="2746"/>
      <c r="B29" s="2745" t="s">
        <v>744</v>
      </c>
      <c r="C29" s="2745" t="s">
        <v>745</v>
      </c>
      <c r="D29" s="2744" t="s">
        <v>691</v>
      </c>
      <c r="E29" s="2748" t="s">
        <v>702</v>
      </c>
      <c r="F29" s="2748" t="s">
        <v>702</v>
      </c>
      <c r="H29" s="2713"/>
      <c r="I29" s="2367">
        <v>10</v>
      </c>
      <c r="J29" s="2714" t="s">
        <v>746</v>
      </c>
      <c r="K29" s="2710" t="s">
        <v>634</v>
      </c>
      <c r="L29" s="1419"/>
      <c r="M29" s="1249"/>
      <c r="N29" s="1235"/>
      <c r="O29" s="2217"/>
      <c r="P29" s="1235"/>
      <c r="AK29" s="2323">
        <v>34</v>
      </c>
    </row>
    <row customHeight="1" ht="24">
      <c r="A30" s="2746"/>
      <c r="B30" s="2745" t="s">
        <v>747</v>
      </c>
      <c r="C30" s="2745" t="s">
        <v>748</v>
      </c>
      <c r="D30" s="2744" t="s">
        <v>691</v>
      </c>
      <c r="E30" s="2748" t="s">
        <v>702</v>
      </c>
      <c r="F30" s="2748" t="s">
        <v>702</v>
      </c>
      <c r="H30" s="2713"/>
      <c r="I30" s="2367">
        <v>11</v>
      </c>
      <c r="J30" s="2714" t="s">
        <v>748</v>
      </c>
      <c r="K30" s="2710" t="s">
        <v>664</v>
      </c>
      <c r="L30" s="2761"/>
      <c r="M30" s="2313"/>
      <c r="N30" s="1235"/>
      <c r="O30" s="2217"/>
      <c r="P30" s="1235"/>
      <c r="AK30" s="2323">
        <v>23</v>
      </c>
    </row>
    <row customHeight="1" ht="24">
      <c r="A31" s="2746"/>
      <c r="B31" s="2745" t="s">
        <v>749</v>
      </c>
      <c r="C31" s="2745" t="s">
        <v>750</v>
      </c>
      <c r="D31" s="2744" t="s">
        <v>691</v>
      </c>
      <c r="E31" s="2748" t="s">
        <v>702</v>
      </c>
      <c r="F31" s="2748" t="s">
        <v>702</v>
      </c>
      <c r="H31" s="2713"/>
      <c r="I31" s="2367">
        <v>12</v>
      </c>
      <c r="J31" s="2714" t="s">
        <v>750</v>
      </c>
      <c r="K31" s="2710" t="s">
        <v>664</v>
      </c>
      <c r="L31" s="2761"/>
      <c r="M31" s="2313"/>
      <c r="N31" s="1235"/>
      <c r="O31" s="2217"/>
      <c r="P31" s="1235"/>
      <c r="AK31" s="2323">
        <v>23</v>
      </c>
    </row>
    <row customHeight="1" ht="48.29999999999999">
      <c r="A32" s="2746"/>
      <c r="B32" s="2745" t="s">
        <v>751</v>
      </c>
      <c r="C32" s="2745" t="s">
        <v>752</v>
      </c>
      <c r="D32" s="2744" t="s">
        <v>691</v>
      </c>
      <c r="E32" s="2748" t="s">
        <v>702</v>
      </c>
      <c r="F32" s="2748" t="s">
        <v>702</v>
      </c>
      <c r="H32" s="2713"/>
      <c r="I32" s="2367">
        <v>13</v>
      </c>
      <c r="J32" s="2714" t="s">
        <v>753</v>
      </c>
      <c r="K32" s="2710" t="s">
        <v>674</v>
      </c>
      <c r="L32" s="1419"/>
      <c r="M32" s="1249"/>
      <c r="N32" s="1235"/>
      <c r="O32" s="2217" t="s">
        <v>713</v>
      </c>
      <c r="P32" s="1235"/>
      <c r="AK32" s="2323">
        <v>46</v>
      </c>
    </row>
    <row s="62148" customFormat="1" customHeight="1" ht="48.29999999999999">
      <c r="A33" s="2746"/>
      <c r="B33" s="2745" t="s">
        <v>754</v>
      </c>
      <c r="C33" s="2745" t="s">
        <v>755</v>
      </c>
      <c r="D33" s="2744" t="s">
        <v>691</v>
      </c>
      <c r="E33" s="2748" t="s">
        <v>702</v>
      </c>
      <c r="F33" s="2748" t="s">
        <v>702</v>
      </c>
      <c r="G33" s="2328"/>
      <c r="H33" s="2713"/>
      <c r="I33" s="2367">
        <v>14</v>
      </c>
      <c r="J33" s="2726" t="s">
        <v>756</v>
      </c>
      <c r="K33" s="2715" t="s">
        <v>757</v>
      </c>
      <c r="L33" s="1419"/>
      <c r="M33" s="1249"/>
      <c r="N33" s="1235"/>
      <c r="O33" s="2217" t="s">
        <v>713</v>
      </c>
      <c r="P33" s="1235"/>
      <c r="Q33" s="2328"/>
      <c r="R33" s="2328"/>
      <c r="W33" s="2328"/>
      <c r="Z33" s="1236"/>
      <c r="AF33" s="2324"/>
      <c r="AG33" s="2324"/>
      <c r="AH33" s="2324"/>
      <c r="AI33" s="2324"/>
      <c r="AJ33" s="2324"/>
      <c r="AK33" s="2058">
        <v>46</v>
      </c>
    </row>
    <row customHeight="1" ht="108">
      <c r="A34" s="2746"/>
      <c r="B34" s="2745" t="s">
        <v>758</v>
      </c>
      <c r="C34" s="2745" t="s">
        <v>759</v>
      </c>
      <c r="D34" s="2744" t="s">
        <v>701</v>
      </c>
      <c r="E34" s="2748" t="s">
        <v>702</v>
      </c>
      <c r="F34" s="2748" t="s">
        <v>702</v>
      </c>
      <c r="G34" s="2328" t="s">
        <v>662</v>
      </c>
      <c r="H34" s="2713"/>
      <c r="I34" s="2724">
        <v>15</v>
      </c>
      <c r="J34" s="2725" t="s">
        <v>760</v>
      </c>
      <c r="K34" s="2710" t="s">
        <v>381</v>
      </c>
      <c r="L34" s="1077"/>
      <c r="M34" s="1856"/>
      <c r="N34" s="1235"/>
      <c r="O34" s="2217" t="s">
        <v>705</v>
      </c>
      <c r="P34" s="1235"/>
      <c r="AK34" s="2323">
        <v>103</v>
      </c>
    </row>
    <row s="61193" customFormat="1" customHeight="1" ht="11.549999999999999">
      <c r="A35" s="1679"/>
      <c r="B35" s="1679"/>
      <c r="C35" s="1679"/>
      <c r="D35" s="1679"/>
      <c r="E35" s="1679"/>
      <c r="F35" s="2328"/>
      <c r="G35" s="2328"/>
      <c r="H35" s="1043"/>
      <c r="N35" s="2058"/>
      <c r="P35" s="2058"/>
      <c r="Q35" s="2328"/>
      <c r="R35" s="2328"/>
      <c r="S35" s="2058"/>
      <c r="T35" s="2058"/>
      <c r="U35" s="2058"/>
      <c r="V35" s="2058"/>
      <c r="W35" s="2328"/>
      <c r="X35" s="2058"/>
      <c r="Y35" s="2058"/>
      <c r="Z35" s="1236"/>
      <c r="AA35" s="2058"/>
      <c r="AB35" s="2058"/>
      <c r="AC35" s="2058"/>
      <c r="AD35" s="2058"/>
      <c r="AE35" s="2058"/>
      <c r="AF35" s="2324"/>
      <c r="AG35" s="1314"/>
      <c r="AH35" s="1314"/>
      <c r="AI35" s="1314"/>
      <c r="AJ35" s="1314"/>
      <c r="AK35" s="2333">
        <v>11</v>
      </c>
    </row>
    <row s="61193" customFormat="1" customHeight="1" ht="11.549999999999999">
      <c r="A36" s="1679"/>
      <c r="B36" s="1679"/>
      <c r="C36" s="1679"/>
      <c r="D36" s="1679"/>
      <c r="E36" s="1679"/>
      <c r="F36" s="2328"/>
      <c r="G36" s="2328"/>
      <c r="H36" s="1043"/>
      <c r="N36" s="2058"/>
      <c r="P36" s="2058"/>
      <c r="Q36" s="2328"/>
      <c r="R36" s="2328"/>
      <c r="S36" s="2058"/>
      <c r="T36" s="2058"/>
      <c r="U36" s="2058"/>
      <c r="V36" s="2058"/>
      <c r="W36" s="2328"/>
      <c r="X36" s="2058"/>
      <c r="Y36" s="2058"/>
      <c r="Z36" s="1236"/>
      <c r="AA36" s="2058"/>
      <c r="AB36" s="2058"/>
      <c r="AC36" s="2058"/>
      <c r="AD36" s="2058"/>
      <c r="AE36" s="2058"/>
      <c r="AF36" s="2324"/>
      <c r="AG36" s="1314"/>
      <c r="AH36" s="1314"/>
      <c r="AI36" s="1314"/>
      <c r="AJ36" s="1314"/>
      <c r="AK36" s="2333">
        <v>11</v>
      </c>
    </row>
    <row s="61193" customFormat="1" customHeight="1" ht="11.549999999999999">
      <c r="A37" s="1679"/>
      <c r="B37" s="1679"/>
      <c r="C37" s="1679"/>
      <c r="D37" s="1679"/>
      <c r="E37" s="1679"/>
      <c r="F37" s="2328"/>
      <c r="G37" s="2328"/>
      <c r="H37" s="1043"/>
      <c r="L37" s="1314"/>
      <c r="M37" s="1314"/>
      <c r="N37" s="2058"/>
      <c r="P37" s="2058"/>
      <c r="Q37" s="2328"/>
      <c r="R37" s="2328"/>
      <c r="S37" s="2058"/>
      <c r="T37" s="2058"/>
      <c r="U37" s="2058"/>
      <c r="V37" s="2058"/>
      <c r="W37" s="2328"/>
      <c r="X37" s="2058"/>
      <c r="Y37" s="2058"/>
      <c r="Z37" s="1236"/>
      <c r="AA37" s="2058"/>
      <c r="AB37" s="2058"/>
      <c r="AC37" s="2058"/>
      <c r="AD37" s="2058"/>
      <c r="AE37" s="2058"/>
      <c r="AF37" s="2324"/>
      <c r="AG37" s="1314"/>
      <c r="AH37" s="1314"/>
      <c r="AI37" s="1314"/>
      <c r="AJ37" s="1314"/>
      <c r="AK37" s="2333">
        <v>11</v>
      </c>
    </row>
    <row s="61193" customFormat="1" customHeight="1" ht="11.549999999999999">
      <c r="A38" s="1679"/>
      <c r="B38" s="1679"/>
      <c r="C38" s="1679"/>
      <c r="D38" s="1679"/>
      <c r="E38" s="1679"/>
      <c r="F38" s="2328"/>
      <c r="G38" s="2328"/>
      <c r="H38" s="1043"/>
      <c r="N38" s="2058"/>
      <c r="P38" s="2058"/>
      <c r="Q38" s="2328"/>
      <c r="R38" s="2328"/>
      <c r="S38" s="2058"/>
      <c r="T38" s="2058"/>
      <c r="U38" s="2058"/>
      <c r="V38" s="2058"/>
      <c r="W38" s="2328"/>
      <c r="X38" s="2058"/>
      <c r="Y38" s="2058"/>
      <c r="Z38" s="1236"/>
      <c r="AA38" s="2058"/>
      <c r="AB38" s="2058"/>
      <c r="AC38" s="2058"/>
      <c r="AD38" s="2058"/>
      <c r="AE38" s="2058"/>
      <c r="AF38" s="2324"/>
      <c r="AG38" s="1314"/>
      <c r="AH38" s="1314"/>
      <c r="AI38" s="1314"/>
      <c r="AJ38" s="1314"/>
      <c r="AK38" s="2333">
        <v>11</v>
      </c>
    </row>
    <row s="61193" customFormat="1" customHeight="1" ht="11.549999999999999">
      <c r="A39" s="1679"/>
      <c r="B39" s="1679"/>
      <c r="C39" s="1679"/>
      <c r="D39" s="1679"/>
      <c r="E39" s="1679"/>
      <c r="F39" s="2328"/>
      <c r="G39" s="2328"/>
      <c r="H39" s="1043"/>
      <c r="N39" s="2058"/>
      <c r="P39" s="2058"/>
      <c r="Q39" s="2328"/>
      <c r="R39" s="2328"/>
      <c r="S39" s="2058"/>
      <c r="T39" s="2058"/>
      <c r="U39" s="2058"/>
      <c r="V39" s="2058"/>
      <c r="W39" s="2328"/>
      <c r="X39" s="2058"/>
      <c r="Y39" s="2058"/>
      <c r="Z39" s="1236"/>
      <c r="AA39" s="2058"/>
      <c r="AB39" s="2058"/>
      <c r="AC39" s="2058"/>
      <c r="AD39" s="2058"/>
      <c r="AE39" s="2058"/>
      <c r="AF39" s="2324"/>
      <c r="AG39" s="1314"/>
      <c r="AH39" s="1314"/>
      <c r="AI39" s="1314"/>
      <c r="AJ39" s="1314"/>
      <c r="AK39" s="2333">
        <v>11</v>
      </c>
    </row>
    <row s="61193" customFormat="1" customHeight="1" ht="11.549999999999999">
      <c r="A40" s="1679"/>
      <c r="B40" s="1679"/>
      <c r="C40" s="1679"/>
      <c r="D40" s="1679"/>
      <c r="E40" s="1679"/>
      <c r="F40" s="2328"/>
      <c r="G40" s="2328"/>
      <c r="H40" s="1043"/>
      <c r="N40" s="2058"/>
      <c r="P40" s="2058"/>
      <c r="Q40" s="2328"/>
      <c r="R40" s="2328"/>
      <c r="S40" s="2058"/>
      <c r="T40" s="2058"/>
      <c r="U40" s="2058"/>
      <c r="V40" s="2058"/>
      <c r="W40" s="2328"/>
      <c r="X40" s="2058"/>
      <c r="Y40" s="2058"/>
      <c r="Z40" s="1236"/>
      <c r="AA40" s="2058"/>
      <c r="AB40" s="2058"/>
      <c r="AC40" s="2058"/>
      <c r="AD40" s="2058"/>
      <c r="AE40" s="2058"/>
      <c r="AF40" s="2324"/>
      <c r="AG40" s="1314"/>
      <c r="AH40" s="1314"/>
      <c r="AI40" s="1314"/>
      <c r="AJ40" s="1314"/>
      <c r="AK40" s="2333">
        <v>11</v>
      </c>
    </row>
    <row s="61193" customFormat="1" customHeight="1" ht="11.549999999999999">
      <c r="A41" s="1679"/>
      <c r="B41" s="1679"/>
      <c r="C41" s="1679"/>
      <c r="D41" s="1679"/>
      <c r="E41" s="1679"/>
      <c r="F41" s="2328"/>
      <c r="G41" s="2328"/>
      <c r="H41" s="1043"/>
      <c r="N41" s="2058"/>
      <c r="P41" s="2058"/>
      <c r="Q41" s="2328"/>
      <c r="R41" s="2328"/>
      <c r="S41" s="2058"/>
      <c r="T41" s="2058"/>
      <c r="U41" s="2058"/>
      <c r="V41" s="2058"/>
      <c r="W41" s="2328"/>
      <c r="X41" s="2058"/>
      <c r="Y41" s="2058"/>
      <c r="Z41" s="1236"/>
      <c r="AA41" s="2058"/>
      <c r="AB41" s="2058"/>
      <c r="AC41" s="2058"/>
      <c r="AD41" s="2058"/>
      <c r="AE41" s="2058"/>
      <c r="AF41" s="2324"/>
      <c r="AG41" s="1314"/>
      <c r="AH41" s="1314"/>
      <c r="AI41" s="1314"/>
      <c r="AJ41" s="1314"/>
      <c r="AK41" s="2333">
        <v>11</v>
      </c>
    </row>
    <row s="61193" customFormat="1" customHeight="1" ht="11.549999999999999">
      <c r="A42" s="1679"/>
      <c r="B42" s="1679"/>
      <c r="C42" s="1679"/>
      <c r="D42" s="1679"/>
      <c r="E42" s="1679"/>
      <c r="F42" s="2328"/>
      <c r="G42" s="2328"/>
      <c r="H42" s="1043"/>
      <c r="N42" s="2058"/>
      <c r="P42" s="2058"/>
      <c r="Q42" s="2328"/>
      <c r="R42" s="2328"/>
      <c r="S42" s="2058"/>
      <c r="T42" s="2058"/>
      <c r="U42" s="2058"/>
      <c r="V42" s="2058"/>
      <c r="W42" s="2328"/>
      <c r="X42" s="2058"/>
      <c r="Y42" s="2058"/>
      <c r="Z42" s="1236"/>
      <c r="AA42" s="2058"/>
      <c r="AB42" s="2058"/>
      <c r="AC42" s="2058"/>
      <c r="AD42" s="2058"/>
      <c r="AE42" s="2058"/>
      <c r="AF42" s="2324"/>
      <c r="AG42" s="1314"/>
      <c r="AH42" s="1314"/>
      <c r="AI42" s="1314"/>
      <c r="AJ42" s="1314"/>
      <c r="AK42" s="2333">
        <v>11</v>
      </c>
    </row>
    <row s="61193" customFormat="1" customHeight="1" ht="11.549999999999999">
      <c r="A43" s="1679"/>
      <c r="B43" s="1679"/>
      <c r="C43" s="1679"/>
      <c r="D43" s="1679"/>
      <c r="E43" s="1679"/>
      <c r="F43" s="2328"/>
      <c r="G43" s="2328"/>
      <c r="H43" s="1043"/>
      <c r="N43" s="2058"/>
      <c r="P43" s="2058"/>
      <c r="Q43" s="2328"/>
      <c r="R43" s="2328"/>
      <c r="S43" s="2058"/>
      <c r="T43" s="2058"/>
      <c r="U43" s="2058"/>
      <c r="V43" s="2058"/>
      <c r="W43" s="2328"/>
      <c r="X43" s="2058"/>
      <c r="Y43" s="2058"/>
      <c r="Z43" s="1236"/>
      <c r="AA43" s="2058"/>
      <c r="AB43" s="2058"/>
      <c r="AC43" s="2058"/>
      <c r="AD43" s="2058"/>
      <c r="AE43" s="2058"/>
      <c r="AF43" s="2324"/>
      <c r="AG43" s="1314"/>
      <c r="AH43" s="1314"/>
      <c r="AI43" s="1314"/>
      <c r="AJ43" s="1314"/>
      <c r="AK43" s="2333">
        <v>11</v>
      </c>
    </row>
    <row s="61193" customFormat="1" customHeight="1" ht="11.549999999999999">
      <c r="A44" s="1679"/>
      <c r="B44" s="1679"/>
      <c r="C44" s="1679"/>
      <c r="D44" s="1679"/>
      <c r="E44" s="1679"/>
      <c r="F44" s="2328"/>
      <c r="G44" s="2328"/>
      <c r="H44" s="1043"/>
      <c r="N44" s="2058"/>
      <c r="P44" s="2058"/>
      <c r="Q44" s="2328"/>
      <c r="R44" s="2328"/>
      <c r="S44" s="2058"/>
      <c r="T44" s="2058"/>
      <c r="U44" s="2058"/>
      <c r="V44" s="2058"/>
      <c r="W44" s="2328"/>
      <c r="X44" s="2058"/>
      <c r="Y44" s="2058"/>
      <c r="Z44" s="1236"/>
      <c r="AA44" s="2058"/>
      <c r="AB44" s="2058"/>
      <c r="AC44" s="2058"/>
      <c r="AD44" s="2058"/>
      <c r="AE44" s="2058"/>
      <c r="AF44" s="2324"/>
      <c r="AG44" s="1314"/>
      <c r="AH44" s="1314"/>
      <c r="AI44" s="1314"/>
      <c r="AJ44" s="1314"/>
      <c r="AK44" s="2333">
        <v>11</v>
      </c>
    </row>
    <row s="61193" customFormat="1" customHeight="1" ht="11.549999999999999">
      <c r="A45" s="1679"/>
      <c r="B45" s="1679"/>
      <c r="C45" s="1679"/>
      <c r="D45" s="1679"/>
      <c r="E45" s="1679"/>
      <c r="F45" s="2328"/>
      <c r="G45" s="2328"/>
      <c r="H45" s="1043"/>
      <c r="N45" s="2058"/>
      <c r="P45" s="2058"/>
      <c r="Q45" s="2328"/>
      <c r="R45" s="2328"/>
      <c r="S45" s="2058"/>
      <c r="T45" s="2058"/>
      <c r="U45" s="2058"/>
      <c r="V45" s="2058"/>
      <c r="W45" s="2328"/>
      <c r="X45" s="2058"/>
      <c r="Y45" s="2058"/>
      <c r="Z45" s="1236"/>
      <c r="AA45" s="2058"/>
      <c r="AB45" s="2058"/>
      <c r="AC45" s="2058"/>
      <c r="AD45" s="2058"/>
      <c r="AE45" s="2058"/>
      <c r="AF45" s="2324"/>
      <c r="AG45" s="1314"/>
      <c r="AH45" s="1314"/>
      <c r="AI45" s="1314"/>
      <c r="AJ45" s="1314"/>
      <c r="AK45" s="2333">
        <v>11</v>
      </c>
    </row>
    <row s="61193" customFormat="1" customHeight="1" ht="11.549999999999999">
      <c r="A46" s="1679"/>
      <c r="B46" s="1679"/>
      <c r="C46" s="1679"/>
      <c r="D46" s="1679"/>
      <c r="E46" s="1679"/>
      <c r="F46" s="2328"/>
      <c r="G46" s="2328"/>
      <c r="H46" s="1043"/>
      <c r="N46" s="2058"/>
      <c r="P46" s="2058"/>
      <c r="Q46" s="2328"/>
      <c r="R46" s="2328"/>
      <c r="S46" s="2058"/>
      <c r="T46" s="2058"/>
      <c r="U46" s="2058"/>
      <c r="V46" s="2058"/>
      <c r="W46" s="2328"/>
      <c r="X46" s="2058"/>
      <c r="Y46" s="2058"/>
      <c r="Z46" s="1236"/>
      <c r="AA46" s="2058"/>
      <c r="AB46" s="2058"/>
      <c r="AC46" s="2058"/>
      <c r="AD46" s="2058"/>
      <c r="AE46" s="2058"/>
      <c r="AF46" s="2324"/>
      <c r="AG46" s="1314"/>
      <c r="AH46" s="1314"/>
      <c r="AI46" s="1314"/>
      <c r="AJ46" s="1314"/>
      <c r="AK46" s="2333">
        <v>11</v>
      </c>
    </row>
    <row s="61193" customFormat="1" customHeight="1" ht="11.549999999999999">
      <c r="A47" s="1679"/>
      <c r="B47" s="1679"/>
      <c r="C47" s="1679"/>
      <c r="D47" s="1679"/>
      <c r="E47" s="1679"/>
      <c r="F47" s="2328"/>
      <c r="G47" s="2328"/>
      <c r="H47" s="1043"/>
      <c r="N47" s="2058"/>
      <c r="P47" s="2058"/>
      <c r="Q47" s="2328"/>
      <c r="R47" s="2328"/>
      <c r="S47" s="2058"/>
      <c r="T47" s="2058"/>
      <c r="U47" s="2058"/>
      <c r="V47" s="2058"/>
      <c r="W47" s="2328"/>
      <c r="X47" s="2058"/>
      <c r="Y47" s="2058"/>
      <c r="Z47" s="1236"/>
      <c r="AA47" s="2058"/>
      <c r="AB47" s="2058"/>
      <c r="AC47" s="2058"/>
      <c r="AD47" s="2058"/>
      <c r="AE47" s="2058"/>
      <c r="AF47" s="2324"/>
      <c r="AG47" s="1314"/>
      <c r="AH47" s="1314"/>
      <c r="AI47" s="1314"/>
      <c r="AJ47" s="1314"/>
      <c r="AK47" s="2333">
        <v>11</v>
      </c>
    </row>
    <row s="61193" customFormat="1" customHeight="1" ht="11.549999999999999">
      <c r="A48" s="1679"/>
      <c r="B48" s="1679"/>
      <c r="C48" s="1679"/>
      <c r="D48" s="1679"/>
      <c r="E48" s="1679"/>
      <c r="F48" s="2328"/>
      <c r="G48" s="2328"/>
      <c r="H48" s="1043"/>
      <c r="N48" s="2058"/>
      <c r="P48" s="2058"/>
      <c r="Q48" s="2328"/>
      <c r="R48" s="2328"/>
      <c r="S48" s="2058"/>
      <c r="T48" s="2058"/>
      <c r="U48" s="2058"/>
      <c r="V48" s="2058"/>
      <c r="W48" s="2328"/>
      <c r="X48" s="2058"/>
      <c r="Y48" s="2058"/>
      <c r="Z48" s="1236"/>
      <c r="AA48" s="2058"/>
      <c r="AB48" s="2058"/>
      <c r="AC48" s="2058"/>
      <c r="AD48" s="2058"/>
      <c r="AE48" s="2058"/>
      <c r="AF48" s="2324"/>
      <c r="AG48" s="1314"/>
      <c r="AH48" s="1314"/>
      <c r="AI48" s="1314"/>
      <c r="AJ48" s="1314"/>
      <c r="AK48" s="2333">
        <v>11</v>
      </c>
    </row>
    <row s="61193" customFormat="1" customHeight="1" ht="11.549999999999999">
      <c r="A49" s="1679"/>
      <c r="B49" s="1679"/>
      <c r="C49" s="1679"/>
      <c r="D49" s="1679"/>
      <c r="E49" s="1679"/>
      <c r="F49" s="2328"/>
      <c r="G49" s="2328"/>
      <c r="H49" s="1043"/>
      <c r="N49" s="2058"/>
      <c r="P49" s="2058"/>
      <c r="Q49" s="2328"/>
      <c r="R49" s="2328"/>
      <c r="S49" s="2058"/>
      <c r="T49" s="2058"/>
      <c r="U49" s="2058"/>
      <c r="V49" s="2058"/>
      <c r="W49" s="2328"/>
      <c r="X49" s="2058"/>
      <c r="Y49" s="2058"/>
      <c r="Z49" s="1236"/>
      <c r="AA49" s="2058"/>
      <c r="AB49" s="2058"/>
      <c r="AC49" s="2058"/>
      <c r="AD49" s="2058"/>
      <c r="AE49" s="2058"/>
      <c r="AF49" s="2324"/>
      <c r="AG49" s="1314"/>
      <c r="AH49" s="1314"/>
      <c r="AI49" s="1314"/>
      <c r="AJ49" s="1314"/>
      <c r="AK49" s="2333">
        <v>11</v>
      </c>
    </row>
    <row s="61193" customFormat="1" customHeight="1" ht="11.549999999999999">
      <c r="A50" s="1679"/>
      <c r="B50" s="1679"/>
      <c r="C50" s="1679"/>
      <c r="D50" s="1679"/>
      <c r="E50" s="1679"/>
      <c r="F50" s="2328"/>
      <c r="G50" s="2328"/>
      <c r="H50" s="1043"/>
      <c r="N50" s="2058"/>
      <c r="P50" s="2058"/>
      <c r="Q50" s="2328"/>
      <c r="R50" s="2328"/>
      <c r="S50" s="2058"/>
      <c r="T50" s="2058"/>
      <c r="U50" s="2058"/>
      <c r="V50" s="2058"/>
      <c r="W50" s="2328"/>
      <c r="X50" s="2058"/>
      <c r="Y50" s="2058"/>
      <c r="Z50" s="1236"/>
      <c r="AA50" s="2058"/>
      <c r="AB50" s="2058"/>
      <c r="AC50" s="2058"/>
      <c r="AD50" s="2058"/>
      <c r="AE50" s="2058"/>
      <c r="AF50" s="2324"/>
      <c r="AG50" s="1314"/>
      <c r="AH50" s="1314"/>
      <c r="AI50" s="1314"/>
      <c r="AJ50" s="1314"/>
      <c r="AK50" s="2333">
        <v>11</v>
      </c>
    </row>
    <row s="61193" customFormat="1" customHeight="1" ht="11.549999999999999">
      <c r="A51" s="1679"/>
      <c r="B51" s="1679"/>
      <c r="C51" s="1679"/>
      <c r="D51" s="1679"/>
      <c r="E51" s="1679"/>
      <c r="F51" s="2328"/>
      <c r="G51" s="2328"/>
      <c r="H51" s="1043"/>
      <c r="N51" s="2058"/>
      <c r="P51" s="2058"/>
      <c r="Q51" s="2328"/>
      <c r="R51" s="2328"/>
      <c r="S51" s="2058"/>
      <c r="T51" s="2058"/>
      <c r="U51" s="2058"/>
      <c r="V51" s="2058"/>
      <c r="W51" s="2328"/>
      <c r="X51" s="2058"/>
      <c r="Y51" s="2058"/>
      <c r="Z51" s="1236"/>
      <c r="AA51" s="2058"/>
      <c r="AB51" s="2058"/>
      <c r="AC51" s="2058"/>
      <c r="AD51" s="2058"/>
      <c r="AE51" s="2058"/>
      <c r="AF51" s="2324"/>
      <c r="AG51" s="1314"/>
      <c r="AH51" s="1314"/>
      <c r="AI51" s="1314"/>
      <c r="AJ51" s="1314"/>
      <c r="AK51" s="2333">
        <v>11</v>
      </c>
    </row>
    <row s="61193" customFormat="1" customHeight="1" ht="11.549999999999999">
      <c r="A52" s="1679"/>
      <c r="B52" s="1679"/>
      <c r="C52" s="1679"/>
      <c r="D52" s="1679"/>
      <c r="E52" s="1679"/>
      <c r="F52" s="2328"/>
      <c r="G52" s="2328"/>
      <c r="H52" s="1043"/>
      <c r="N52" s="2058"/>
      <c r="P52" s="2058"/>
      <c r="Q52" s="2328"/>
      <c r="R52" s="2328"/>
      <c r="S52" s="2058"/>
      <c r="T52" s="2058"/>
      <c r="U52" s="2058"/>
      <c r="V52" s="2058"/>
      <c r="W52" s="2328"/>
      <c r="X52" s="2058"/>
      <c r="Y52" s="2058"/>
      <c r="Z52" s="1236"/>
      <c r="AA52" s="2058"/>
      <c r="AB52" s="2058"/>
      <c r="AC52" s="2058"/>
      <c r="AD52" s="2058"/>
      <c r="AE52" s="2058"/>
      <c r="AF52" s="2324"/>
      <c r="AG52" s="1314"/>
      <c r="AH52" s="1314"/>
      <c r="AI52" s="1314"/>
      <c r="AJ52" s="1314"/>
      <c r="AK52" s="2333">
        <v>11</v>
      </c>
    </row>
    <row s="61193" customFormat="1" customHeight="1" ht="11.549999999999999">
      <c r="A53" s="1679"/>
      <c r="B53" s="1679"/>
      <c r="C53" s="1679"/>
      <c r="D53" s="1679"/>
      <c r="E53" s="1679"/>
      <c r="F53" s="2328"/>
      <c r="G53" s="2328"/>
      <c r="H53" s="1043"/>
      <c r="N53" s="2058"/>
      <c r="P53" s="2058"/>
      <c r="Q53" s="2328"/>
      <c r="R53" s="2328"/>
      <c r="S53" s="2058"/>
      <c r="T53" s="2058"/>
      <c r="U53" s="2058"/>
      <c r="V53" s="2058"/>
      <c r="W53" s="2328"/>
      <c r="X53" s="2058"/>
      <c r="Y53" s="2058"/>
      <c r="Z53" s="1236"/>
      <c r="AA53" s="2058"/>
      <c r="AB53" s="2058"/>
      <c r="AC53" s="2058"/>
      <c r="AD53" s="2058"/>
      <c r="AE53" s="2058"/>
      <c r="AF53" s="2324"/>
      <c r="AG53" s="1314"/>
      <c r="AH53" s="1314"/>
      <c r="AI53" s="1314"/>
      <c r="AJ53" s="1314"/>
      <c r="AK53" s="2333">
        <v>11</v>
      </c>
    </row>
    <row s="61193" customFormat="1" customHeight="1" ht="11.549999999999999">
      <c r="A54" s="1679"/>
      <c r="B54" s="1679"/>
      <c r="C54" s="1679"/>
      <c r="D54" s="1679"/>
      <c r="E54" s="1679"/>
      <c r="F54" s="2328"/>
      <c r="G54" s="2328"/>
      <c r="H54" s="1043"/>
      <c r="N54" s="2058"/>
      <c r="P54" s="2058"/>
      <c r="Q54" s="2328"/>
      <c r="R54" s="2328"/>
      <c r="S54" s="2058"/>
      <c r="T54" s="2058"/>
      <c r="U54" s="2058"/>
      <c r="V54" s="2058"/>
      <c r="W54" s="2328"/>
      <c r="X54" s="2058"/>
      <c r="Y54" s="2058"/>
      <c r="Z54" s="1236"/>
      <c r="AA54" s="2058"/>
      <c r="AB54" s="2058"/>
      <c r="AC54" s="2058"/>
      <c r="AD54" s="2058"/>
      <c r="AE54" s="2058"/>
      <c r="AF54" s="2324"/>
      <c r="AG54" s="1314"/>
      <c r="AH54" s="1314"/>
      <c r="AI54" s="1314"/>
      <c r="AJ54" s="1314"/>
      <c r="AK54" s="2333">
        <v>11</v>
      </c>
    </row>
    <row s="61193" customFormat="1" customHeight="1" ht="11.549999999999999">
      <c r="A55" s="1679"/>
      <c r="B55" s="1679"/>
      <c r="C55" s="1679"/>
      <c r="D55" s="1679"/>
      <c r="E55" s="1679"/>
      <c r="F55" s="2328"/>
      <c r="G55" s="2328"/>
      <c r="H55" s="1043"/>
      <c r="N55" s="2058"/>
      <c r="P55" s="2058"/>
      <c r="Q55" s="2328"/>
      <c r="R55" s="2328"/>
      <c r="S55" s="2058"/>
      <c r="T55" s="2058"/>
      <c r="U55" s="2058"/>
      <c r="V55" s="2058"/>
      <c r="W55" s="2328"/>
      <c r="X55" s="2058"/>
      <c r="Y55" s="2058"/>
      <c r="Z55" s="1236"/>
      <c r="AA55" s="2058"/>
      <c r="AB55" s="2058"/>
      <c r="AC55" s="2058"/>
      <c r="AD55" s="2058"/>
      <c r="AE55" s="2058"/>
      <c r="AF55" s="2324"/>
      <c r="AG55" s="1314"/>
      <c r="AH55" s="1314"/>
      <c r="AI55" s="1314"/>
      <c r="AJ55" s="1314"/>
      <c r="AK55" s="2333">
        <v>11</v>
      </c>
    </row>
    <row s="61193" customFormat="1" customHeight="1" ht="11.549999999999999">
      <c r="A56" s="1679"/>
      <c r="B56" s="1679"/>
      <c r="C56" s="1679"/>
      <c r="D56" s="1679"/>
      <c r="E56" s="1679"/>
      <c r="F56" s="2328"/>
      <c r="G56" s="2328"/>
      <c r="H56" s="1043"/>
      <c r="N56" s="2058"/>
      <c r="P56" s="2058"/>
      <c r="Q56" s="2328"/>
      <c r="R56" s="2328"/>
      <c r="S56" s="2058"/>
      <c r="T56" s="2058"/>
      <c r="U56" s="2058"/>
      <c r="V56" s="2058"/>
      <c r="W56" s="2328"/>
      <c r="X56" s="2058"/>
      <c r="Y56" s="2058"/>
      <c r="Z56" s="1236"/>
      <c r="AA56" s="2058"/>
      <c r="AB56" s="2058"/>
      <c r="AC56" s="2058"/>
      <c r="AD56" s="2058"/>
      <c r="AE56" s="2058"/>
      <c r="AF56" s="2324"/>
      <c r="AG56" s="1314"/>
      <c r="AH56" s="1314"/>
      <c r="AI56" s="1314"/>
      <c r="AJ56" s="1314"/>
      <c r="AK56" s="2333">
        <v>11</v>
      </c>
    </row>
    <row s="61193" customFormat="1" customHeight="1" ht="11.549999999999999">
      <c r="A57" s="1679"/>
      <c r="B57" s="1679"/>
      <c r="C57" s="1679"/>
      <c r="D57" s="1679"/>
      <c r="E57" s="1679"/>
      <c r="F57" s="2328"/>
      <c r="G57" s="2328"/>
      <c r="H57" s="1043"/>
      <c r="N57" s="2058"/>
      <c r="P57" s="2058"/>
      <c r="Q57" s="2328"/>
      <c r="R57" s="2328"/>
      <c r="S57" s="2058"/>
      <c r="T57" s="2058"/>
      <c r="U57" s="2058"/>
      <c r="V57" s="2058"/>
      <c r="W57" s="2328"/>
      <c r="X57" s="2058"/>
      <c r="Y57" s="2058"/>
      <c r="Z57" s="1236"/>
      <c r="AA57" s="2058"/>
      <c r="AB57" s="2058"/>
      <c r="AC57" s="2058"/>
      <c r="AD57" s="2058"/>
      <c r="AE57" s="2058"/>
      <c r="AF57" s="2324"/>
      <c r="AG57" s="1314"/>
      <c r="AH57" s="1314"/>
      <c r="AI57" s="1314"/>
      <c r="AJ57" s="1314"/>
      <c r="AK57" s="2333">
        <v>11</v>
      </c>
    </row>
    <row s="61193" customFormat="1" customHeight="1" ht="11.549999999999999">
      <c r="A58" s="1679"/>
      <c r="B58" s="1679"/>
      <c r="C58" s="1679"/>
      <c r="D58" s="1679"/>
      <c r="E58" s="1679"/>
      <c r="F58" s="2328"/>
      <c r="G58" s="2328"/>
      <c r="H58" s="1043"/>
      <c r="N58" s="2058"/>
      <c r="P58" s="2058"/>
      <c r="Q58" s="2328"/>
      <c r="R58" s="2328"/>
      <c r="S58" s="2058"/>
      <c r="T58" s="2058"/>
      <c r="U58" s="2058"/>
      <c r="V58" s="2058"/>
      <c r="W58" s="2328"/>
      <c r="X58" s="2058"/>
      <c r="Y58" s="2058"/>
      <c r="Z58" s="1236"/>
      <c r="AA58" s="2058"/>
      <c r="AB58" s="2058"/>
      <c r="AC58" s="2058"/>
      <c r="AD58" s="2058"/>
      <c r="AE58" s="2058"/>
      <c r="AF58" s="2324"/>
      <c r="AG58" s="1314"/>
      <c r="AH58" s="1314"/>
      <c r="AI58" s="1314"/>
      <c r="AJ58" s="1314"/>
      <c r="AK58" s="2333">
        <v>11</v>
      </c>
    </row>
    <row s="61193" customFormat="1" customHeight="1" ht="11.549999999999999">
      <c r="A59" s="1679"/>
      <c r="B59" s="1679"/>
      <c r="C59" s="1679"/>
      <c r="D59" s="1679"/>
      <c r="E59" s="1679"/>
      <c r="F59" s="2328"/>
      <c r="G59" s="2328"/>
      <c r="H59" s="1043"/>
      <c r="N59" s="2058"/>
      <c r="P59" s="2058"/>
      <c r="Q59" s="2328"/>
      <c r="R59" s="2328"/>
      <c r="S59" s="2058"/>
      <c r="T59" s="2058"/>
      <c r="U59" s="2058"/>
      <c r="V59" s="2058"/>
      <c r="W59" s="2328"/>
      <c r="X59" s="2058"/>
      <c r="Y59" s="2058"/>
      <c r="Z59" s="1236"/>
      <c r="AA59" s="2058"/>
      <c r="AB59" s="2058"/>
      <c r="AC59" s="2058"/>
      <c r="AD59" s="2058"/>
      <c r="AE59" s="2058"/>
      <c r="AF59" s="2324"/>
      <c r="AG59" s="1314"/>
      <c r="AH59" s="1314"/>
      <c r="AI59" s="1314"/>
      <c r="AJ59" s="1314"/>
      <c r="AK59" s="2333">
        <v>11</v>
      </c>
    </row>
    <row s="61193" customFormat="1" customHeight="1" ht="11.549999999999999">
      <c r="A60" s="1679"/>
      <c r="B60" s="1679"/>
      <c r="C60" s="1679"/>
      <c r="D60" s="1679"/>
      <c r="E60" s="1679"/>
      <c r="F60" s="2328"/>
      <c r="G60" s="2328"/>
      <c r="H60" s="1043"/>
      <c r="N60" s="2058"/>
      <c r="P60" s="2058"/>
      <c r="Q60" s="2328"/>
      <c r="R60" s="2328"/>
      <c r="S60" s="2058"/>
      <c r="T60" s="2058"/>
      <c r="U60" s="2058"/>
      <c r="V60" s="2058"/>
      <c r="W60" s="2328"/>
      <c r="X60" s="2058"/>
      <c r="Y60" s="2058"/>
      <c r="Z60" s="1236"/>
      <c r="AA60" s="2058"/>
      <c r="AB60" s="2058"/>
      <c r="AC60" s="2058"/>
      <c r="AD60" s="2058"/>
      <c r="AE60" s="2058"/>
      <c r="AF60" s="2324"/>
      <c r="AG60" s="1314"/>
      <c r="AH60" s="1314"/>
      <c r="AI60" s="1314"/>
      <c r="AJ60" s="1314"/>
      <c r="AK60" s="2333">
        <v>11</v>
      </c>
    </row>
    <row s="61193" customFormat="1" customHeight="1" ht="11.549999999999999">
      <c r="A61" s="1679"/>
      <c r="B61" s="1679"/>
      <c r="C61" s="1679"/>
      <c r="D61" s="1679"/>
      <c r="E61" s="1679"/>
      <c r="F61" s="2328"/>
      <c r="G61" s="2328"/>
      <c r="H61" s="1043"/>
      <c r="N61" s="2058"/>
      <c r="P61" s="2058"/>
      <c r="Q61" s="2328"/>
      <c r="R61" s="2328"/>
      <c r="S61" s="2058"/>
      <c r="T61" s="2058"/>
      <c r="U61" s="2058"/>
      <c r="V61" s="2058"/>
      <c r="W61" s="2328"/>
      <c r="X61" s="2058"/>
      <c r="Y61" s="2058"/>
      <c r="Z61" s="1236"/>
      <c r="AA61" s="2058"/>
      <c r="AB61" s="2058"/>
      <c r="AC61" s="2058"/>
      <c r="AD61" s="2058"/>
      <c r="AE61" s="2058"/>
      <c r="AF61" s="2324"/>
      <c r="AG61" s="1314"/>
      <c r="AH61" s="1314"/>
      <c r="AI61" s="1314"/>
      <c r="AJ61" s="1314"/>
      <c r="AK61" s="2333">
        <v>11</v>
      </c>
    </row>
    <row s="61193" customFormat="1" customHeight="1" ht="11.549999999999999">
      <c r="A62" s="1679"/>
      <c r="B62" s="1679"/>
      <c r="C62" s="1679"/>
      <c r="D62" s="1679"/>
      <c r="E62" s="1679"/>
      <c r="F62" s="2328"/>
      <c r="G62" s="2328"/>
      <c r="H62" s="1043"/>
      <c r="N62" s="2058"/>
      <c r="P62" s="2058"/>
      <c r="Q62" s="2328"/>
      <c r="R62" s="2328"/>
      <c r="S62" s="2058"/>
      <c r="T62" s="2058"/>
      <c r="U62" s="2058"/>
      <c r="V62" s="2058"/>
      <c r="W62" s="2328"/>
      <c r="X62" s="2058"/>
      <c r="Y62" s="2058"/>
      <c r="Z62" s="1236"/>
      <c r="AA62" s="2058"/>
      <c r="AB62" s="2058"/>
      <c r="AC62" s="2058"/>
      <c r="AD62" s="2058"/>
      <c r="AE62" s="2058"/>
      <c r="AF62" s="2324"/>
      <c r="AG62" s="1314"/>
      <c r="AH62" s="1314"/>
      <c r="AI62" s="1314"/>
      <c r="AJ62" s="1314"/>
      <c r="AK62" s="2333">
        <v>11</v>
      </c>
    </row>
    <row s="61193" customFormat="1" customHeight="1" ht="11.549999999999999">
      <c r="A63" s="1679"/>
      <c r="B63" s="1679"/>
      <c r="C63" s="1679"/>
      <c r="D63" s="1679"/>
      <c r="E63" s="1679"/>
      <c r="F63" s="2328"/>
      <c r="G63" s="2328"/>
      <c r="H63" s="1043"/>
      <c r="N63" s="2058"/>
      <c r="P63" s="2058"/>
      <c r="Q63" s="2328"/>
      <c r="R63" s="2328"/>
      <c r="S63" s="2058"/>
      <c r="T63" s="2058"/>
      <c r="U63" s="2058"/>
      <c r="V63" s="2058"/>
      <c r="W63" s="2328"/>
      <c r="X63" s="2058"/>
      <c r="Y63" s="2058"/>
      <c r="Z63" s="1236"/>
      <c r="AA63" s="2058"/>
      <c r="AB63" s="2058"/>
      <c r="AC63" s="2058"/>
      <c r="AD63" s="2058"/>
      <c r="AE63" s="2058"/>
      <c r="AF63" s="2324"/>
      <c r="AG63" s="1314"/>
      <c r="AH63" s="1314"/>
      <c r="AI63" s="1314"/>
      <c r="AJ63" s="1314"/>
      <c r="AK63" s="2333">
        <v>11</v>
      </c>
    </row>
    <row s="61193" customFormat="1" customHeight="1" ht="11.549999999999999">
      <c r="A64" s="1679"/>
      <c r="B64" s="1679"/>
      <c r="C64" s="1679"/>
      <c r="D64" s="1679"/>
      <c r="E64" s="1679"/>
      <c r="F64" s="2328"/>
      <c r="G64" s="2328"/>
      <c r="H64" s="1043"/>
      <c r="N64" s="2058"/>
      <c r="P64" s="2058"/>
      <c r="Q64" s="2328"/>
      <c r="R64" s="2328"/>
      <c r="S64" s="2058"/>
      <c r="T64" s="2058"/>
      <c r="U64" s="2058"/>
      <c r="V64" s="2058"/>
      <c r="W64" s="2328"/>
      <c r="X64" s="2058"/>
      <c r="Y64" s="2058"/>
      <c r="Z64" s="1236"/>
      <c r="AA64" s="2058"/>
      <c r="AB64" s="2058"/>
      <c r="AC64" s="2058"/>
      <c r="AD64" s="2058"/>
      <c r="AE64" s="2058"/>
      <c r="AF64" s="2324"/>
      <c r="AG64" s="1314"/>
      <c r="AH64" s="1314"/>
      <c r="AI64" s="1314"/>
      <c r="AJ64" s="1314"/>
      <c r="AK64" s="2333">
        <v>11</v>
      </c>
    </row>
    <row s="61193" customFormat="1" customHeight="1" ht="11.549999999999999">
      <c r="A65" s="1679"/>
      <c r="B65" s="1679"/>
      <c r="C65" s="1679"/>
      <c r="D65" s="1679"/>
      <c r="E65" s="1679"/>
      <c r="F65" s="2328"/>
      <c r="G65" s="2328"/>
      <c r="H65" s="1043"/>
      <c r="N65" s="2058"/>
      <c r="P65" s="2058"/>
      <c r="Q65" s="2328"/>
      <c r="R65" s="2328"/>
      <c r="S65" s="2058"/>
      <c r="T65" s="2058"/>
      <c r="U65" s="2058"/>
      <c r="V65" s="2058"/>
      <c r="W65" s="2328"/>
      <c r="X65" s="2058"/>
      <c r="Y65" s="2058"/>
      <c r="Z65" s="1236"/>
      <c r="AA65" s="2058"/>
      <c r="AB65" s="2058"/>
      <c r="AC65" s="2058"/>
      <c r="AD65" s="2058"/>
      <c r="AE65" s="2058"/>
      <c r="AF65" s="2324"/>
      <c r="AG65" s="1314"/>
      <c r="AH65" s="1314"/>
      <c r="AI65" s="1314"/>
      <c r="AJ65" s="1314"/>
      <c r="AK65" s="2333">
        <v>11</v>
      </c>
    </row>
    <row s="61193" customFormat="1" customHeight="1" ht="11.549999999999999">
      <c r="A66" s="1679"/>
      <c r="B66" s="1679"/>
      <c r="C66" s="1679"/>
      <c r="D66" s="1679"/>
      <c r="E66" s="1679"/>
      <c r="F66" s="2328"/>
      <c r="G66" s="2328"/>
      <c r="H66" s="1043"/>
      <c r="N66" s="2058"/>
      <c r="P66" s="2058"/>
      <c r="Q66" s="2328"/>
      <c r="R66" s="2328"/>
      <c r="S66" s="2058"/>
      <c r="T66" s="2058"/>
      <c r="U66" s="2058"/>
      <c r="V66" s="2058"/>
      <c r="W66" s="2328"/>
      <c r="X66" s="2058"/>
      <c r="Y66" s="2058"/>
      <c r="Z66" s="1236"/>
      <c r="AA66" s="2058"/>
      <c r="AB66" s="2058"/>
      <c r="AC66" s="2058"/>
      <c r="AD66" s="2058"/>
      <c r="AE66" s="2058"/>
      <c r="AF66" s="2324"/>
      <c r="AG66" s="1314"/>
      <c r="AH66" s="1314"/>
      <c r="AI66" s="1314"/>
      <c r="AJ66" s="1314"/>
      <c r="AK66" s="2333">
        <v>11</v>
      </c>
    </row>
    <row s="61193" customFormat="1" customHeight="1" ht="11.549999999999999">
      <c r="A67" s="1679"/>
      <c r="B67" s="1679"/>
      <c r="C67" s="1679"/>
      <c r="D67" s="1679"/>
      <c r="E67" s="1679"/>
      <c r="F67" s="2328"/>
      <c r="G67" s="2328"/>
      <c r="H67" s="1043"/>
      <c r="N67" s="2058"/>
      <c r="P67" s="2058"/>
      <c r="Q67" s="2328"/>
      <c r="R67" s="2328"/>
      <c r="S67" s="2058"/>
      <c r="T67" s="2058"/>
      <c r="U67" s="2058"/>
      <c r="V67" s="2058"/>
      <c r="W67" s="2328"/>
      <c r="X67" s="2058"/>
      <c r="Y67" s="2058"/>
      <c r="Z67" s="1236"/>
      <c r="AA67" s="2058"/>
      <c r="AB67" s="2058"/>
      <c r="AC67" s="2058"/>
      <c r="AD67" s="2058"/>
      <c r="AE67" s="2058"/>
      <c r="AF67" s="2324"/>
      <c r="AG67" s="1314"/>
      <c r="AH67" s="1314"/>
      <c r="AI67" s="1314"/>
      <c r="AJ67" s="1314"/>
      <c r="AK67" s="2333">
        <v>11</v>
      </c>
    </row>
    <row s="61193" customFormat="1" customHeight="1" ht="11.549999999999999">
      <c r="A68" s="1679"/>
      <c r="B68" s="1679"/>
      <c r="C68" s="1679"/>
      <c r="D68" s="1679"/>
      <c r="E68" s="1679"/>
      <c r="F68" s="2328"/>
      <c r="G68" s="2328"/>
      <c r="H68" s="1043"/>
      <c r="N68" s="2058"/>
      <c r="P68" s="2058"/>
      <c r="Q68" s="2328"/>
      <c r="R68" s="2328"/>
      <c r="S68" s="2058"/>
      <c r="T68" s="2058"/>
      <c r="U68" s="2058"/>
      <c r="V68" s="2058"/>
      <c r="W68" s="2328"/>
      <c r="X68" s="2058"/>
      <c r="Y68" s="2058"/>
      <c r="Z68" s="1236"/>
      <c r="AA68" s="2058"/>
      <c r="AB68" s="2058"/>
      <c r="AC68" s="2058"/>
      <c r="AD68" s="2058"/>
      <c r="AE68" s="2058"/>
      <c r="AF68" s="2324"/>
      <c r="AG68" s="1314"/>
      <c r="AH68" s="1314"/>
      <c r="AI68" s="1314"/>
      <c r="AJ68" s="1314"/>
      <c r="AK68" s="2333">
        <v>11</v>
      </c>
    </row>
    <row s="61193" customFormat="1" customHeight="1" ht="11.549999999999999">
      <c r="A69" s="1679"/>
      <c r="B69" s="1679"/>
      <c r="C69" s="1679"/>
      <c r="D69" s="1679"/>
      <c r="E69" s="1679"/>
      <c r="F69" s="2328"/>
      <c r="G69" s="2328"/>
      <c r="H69" s="1043"/>
      <c r="N69" s="2058"/>
      <c r="P69" s="2058"/>
      <c r="Q69" s="2328"/>
      <c r="R69" s="2328"/>
      <c r="S69" s="2058"/>
      <c r="T69" s="2058"/>
      <c r="U69" s="2058"/>
      <c r="V69" s="2058"/>
      <c r="W69" s="2328"/>
      <c r="X69" s="2058"/>
      <c r="Y69" s="2058"/>
      <c r="Z69" s="1236"/>
      <c r="AA69" s="2058"/>
      <c r="AB69" s="2058"/>
      <c r="AC69" s="2058"/>
      <c r="AD69" s="2058"/>
      <c r="AE69" s="2058"/>
      <c r="AF69" s="2324"/>
      <c r="AG69" s="1314"/>
      <c r="AH69" s="1314"/>
      <c r="AI69" s="1314"/>
      <c r="AJ69" s="1314"/>
      <c r="AK69" s="2333">
        <v>11</v>
      </c>
    </row>
    <row s="61193" customFormat="1" customHeight="1" ht="11.549999999999999">
      <c r="A70" s="1679"/>
      <c r="B70" s="1679"/>
      <c r="C70" s="1679"/>
      <c r="D70" s="1679"/>
      <c r="E70" s="1679"/>
      <c r="F70" s="2328"/>
      <c r="G70" s="2328"/>
      <c r="H70" s="1043"/>
      <c r="N70" s="2058"/>
      <c r="P70" s="2058"/>
      <c r="Q70" s="2328"/>
      <c r="R70" s="2328"/>
      <c r="S70" s="2058"/>
      <c r="T70" s="2058"/>
      <c r="U70" s="2058"/>
      <c r="V70" s="2058"/>
      <c r="W70" s="2328"/>
      <c r="X70" s="2058"/>
      <c r="Y70" s="2058"/>
      <c r="Z70" s="1236"/>
      <c r="AA70" s="2058"/>
      <c r="AB70" s="2058"/>
      <c r="AC70" s="2058"/>
      <c r="AD70" s="2058"/>
      <c r="AE70" s="2058"/>
      <c r="AF70" s="2324"/>
      <c r="AG70" s="1314"/>
      <c r="AH70" s="1314"/>
      <c r="AI70" s="1314"/>
      <c r="AJ70" s="1314"/>
      <c r="AK70" s="2333">
        <v>11</v>
      </c>
    </row>
    <row s="61193" customFormat="1" customHeight="1" ht="11.549999999999999">
      <c r="A71" s="1679"/>
      <c r="B71" s="1679"/>
      <c r="C71" s="1679"/>
      <c r="D71" s="1679"/>
      <c r="E71" s="1679"/>
      <c r="F71" s="2328"/>
      <c r="G71" s="2328"/>
      <c r="H71" s="1043"/>
      <c r="N71" s="2058"/>
      <c r="P71" s="2058"/>
      <c r="Q71" s="2328"/>
      <c r="R71" s="2328"/>
      <c r="S71" s="2058"/>
      <c r="T71" s="2058"/>
      <c r="U71" s="2058"/>
      <c r="V71" s="2058"/>
      <c r="W71" s="2328"/>
      <c r="X71" s="2058"/>
      <c r="Y71" s="2058"/>
      <c r="Z71" s="1236"/>
      <c r="AA71" s="2058"/>
      <c r="AB71" s="2058"/>
      <c r="AC71" s="2058"/>
      <c r="AD71" s="2058"/>
      <c r="AE71" s="2058"/>
      <c r="AF71" s="2324"/>
      <c r="AG71" s="1314"/>
      <c r="AH71" s="1314"/>
      <c r="AI71" s="1314"/>
      <c r="AJ71" s="1314"/>
      <c r="AK71" s="2333">
        <v>11</v>
      </c>
    </row>
    <row s="61193" customFormat="1" customHeight="1" ht="11.549999999999999">
      <c r="A72" s="1679"/>
      <c r="B72" s="1679"/>
      <c r="C72" s="1679"/>
      <c r="D72" s="1679"/>
      <c r="E72" s="1679"/>
      <c r="F72" s="2328"/>
      <c r="G72" s="2328"/>
      <c r="H72" s="1043"/>
      <c r="N72" s="2058"/>
      <c r="P72" s="2058"/>
      <c r="Q72" s="2328"/>
      <c r="R72" s="2328"/>
      <c r="S72" s="2058"/>
      <c r="T72" s="2058"/>
      <c r="U72" s="2058"/>
      <c r="V72" s="2058"/>
      <c r="W72" s="2328"/>
      <c r="X72" s="2058"/>
      <c r="Y72" s="2058"/>
      <c r="Z72" s="1236"/>
      <c r="AA72" s="2058"/>
      <c r="AB72" s="2058"/>
      <c r="AC72" s="2058"/>
      <c r="AD72" s="2058"/>
      <c r="AE72" s="2058"/>
      <c r="AF72" s="2324"/>
      <c r="AG72" s="1314"/>
      <c r="AH72" s="1314"/>
      <c r="AI72" s="1314"/>
      <c r="AJ72" s="1314"/>
      <c r="AK72" s="2333">
        <v>11</v>
      </c>
    </row>
    <row s="61193" customFormat="1" customHeight="1" ht="11.549999999999999">
      <c r="A73" s="1679"/>
      <c r="B73" s="1679"/>
      <c r="C73" s="1679"/>
      <c r="D73" s="1679"/>
      <c r="E73" s="1679"/>
      <c r="F73" s="2328"/>
      <c r="G73" s="2328"/>
      <c r="H73" s="1043"/>
      <c r="N73" s="2058"/>
      <c r="P73" s="2058"/>
      <c r="Q73" s="2328"/>
      <c r="R73" s="2328"/>
      <c r="S73" s="2058"/>
      <c r="T73" s="2058"/>
      <c r="U73" s="2058"/>
      <c r="V73" s="2058"/>
      <c r="W73" s="2328"/>
      <c r="X73" s="2058"/>
      <c r="Y73" s="2058"/>
      <c r="Z73" s="1236"/>
      <c r="AA73" s="2058"/>
      <c r="AB73" s="2058"/>
      <c r="AC73" s="2058"/>
      <c r="AD73" s="2058"/>
      <c r="AE73" s="2058"/>
      <c r="AF73" s="2324"/>
      <c r="AG73" s="1314"/>
      <c r="AH73" s="1314"/>
      <c r="AI73" s="1314"/>
      <c r="AJ73" s="1314"/>
      <c r="AK73" s="2333">
        <v>11</v>
      </c>
    </row>
    <row s="61193" customFormat="1" customHeight="1" ht="11.549999999999999">
      <c r="A74" s="1679"/>
      <c r="B74" s="1679"/>
      <c r="C74" s="1679"/>
      <c r="D74" s="1679"/>
      <c r="E74" s="1679"/>
      <c r="F74" s="2328"/>
      <c r="G74" s="2328"/>
      <c r="H74" s="1043"/>
      <c r="N74" s="2058"/>
      <c r="P74" s="2058"/>
      <c r="Q74" s="2328"/>
      <c r="R74" s="2328"/>
      <c r="S74" s="2058"/>
      <c r="T74" s="2058"/>
      <c r="U74" s="2058"/>
      <c r="V74" s="2058"/>
      <c r="W74" s="2328"/>
      <c r="X74" s="2058"/>
      <c r="Y74" s="2058"/>
      <c r="Z74" s="1236"/>
      <c r="AA74" s="2058"/>
      <c r="AB74" s="2058"/>
      <c r="AC74" s="2058"/>
      <c r="AD74" s="2058"/>
      <c r="AE74" s="2058"/>
      <c r="AF74" s="2324"/>
      <c r="AG74" s="1314"/>
      <c r="AH74" s="1314"/>
      <c r="AI74" s="1314"/>
      <c r="AJ74" s="1314"/>
      <c r="AK74" s="2333">
        <v>11</v>
      </c>
    </row>
    <row s="61193" customFormat="1" customHeight="1" ht="11.549999999999999">
      <c r="A75" s="1679"/>
      <c r="B75" s="1679"/>
      <c r="C75" s="1679"/>
      <c r="D75" s="1679"/>
      <c r="E75" s="1679"/>
      <c r="F75" s="2328"/>
      <c r="G75" s="2328"/>
      <c r="H75" s="1043"/>
      <c r="N75" s="2058"/>
      <c r="P75" s="2058"/>
      <c r="Q75" s="2328"/>
      <c r="R75" s="2328"/>
      <c r="S75" s="2058"/>
      <c r="T75" s="2058"/>
      <c r="U75" s="2058"/>
      <c r="V75" s="2058"/>
      <c r="W75" s="2328"/>
      <c r="X75" s="2058"/>
      <c r="Y75" s="2058"/>
      <c r="Z75" s="1236"/>
      <c r="AA75" s="2058"/>
      <c r="AB75" s="2058"/>
      <c r="AC75" s="2058"/>
      <c r="AD75" s="2058"/>
      <c r="AE75" s="2058"/>
      <c r="AF75" s="2324"/>
      <c r="AG75" s="1314"/>
      <c r="AH75" s="1314"/>
      <c r="AI75" s="1314"/>
      <c r="AJ75" s="1314"/>
      <c r="AK75" s="2333">
        <v>11</v>
      </c>
    </row>
    <row s="61193" customFormat="1" customHeight="1" ht="11.549999999999999">
      <c r="A76" s="1679"/>
      <c r="B76" s="1679"/>
      <c r="C76" s="1679"/>
      <c r="D76" s="1679"/>
      <c r="E76" s="1679"/>
      <c r="F76" s="2328"/>
      <c r="G76" s="2328"/>
      <c r="H76" s="1043"/>
      <c r="N76" s="2058"/>
      <c r="P76" s="2058"/>
      <c r="Q76" s="2328"/>
      <c r="R76" s="2328"/>
      <c r="S76" s="2058"/>
      <c r="T76" s="2058"/>
      <c r="U76" s="2058"/>
      <c r="V76" s="2058"/>
      <c r="W76" s="2328"/>
      <c r="X76" s="2058"/>
      <c r="Y76" s="2058"/>
      <c r="Z76" s="1236"/>
      <c r="AA76" s="2058"/>
      <c r="AB76" s="2058"/>
      <c r="AC76" s="2058"/>
      <c r="AD76" s="2058"/>
      <c r="AE76" s="2058"/>
      <c r="AF76" s="2324"/>
      <c r="AG76" s="1314"/>
      <c r="AH76" s="1314"/>
      <c r="AI76" s="1314"/>
      <c r="AJ76" s="1314"/>
      <c r="AK76" s="2333">
        <v>11</v>
      </c>
    </row>
    <row s="61193" customFormat="1" customHeight="1" ht="11.549999999999999">
      <c r="A77" s="1679"/>
      <c r="B77" s="1679"/>
      <c r="C77" s="1679"/>
      <c r="D77" s="1679"/>
      <c r="E77" s="1679"/>
      <c r="F77" s="2328"/>
      <c r="G77" s="2328"/>
      <c r="H77" s="1043"/>
      <c r="N77" s="2058"/>
      <c r="P77" s="2058"/>
      <c r="Q77" s="2328"/>
      <c r="R77" s="2328"/>
      <c r="S77" s="2058"/>
      <c r="T77" s="2058"/>
      <c r="U77" s="2058"/>
      <c r="V77" s="2058"/>
      <c r="W77" s="2328"/>
      <c r="X77" s="2058"/>
      <c r="Y77" s="2058"/>
      <c r="Z77" s="1236"/>
      <c r="AA77" s="2058"/>
      <c r="AB77" s="2058"/>
      <c r="AC77" s="2058"/>
      <c r="AD77" s="2058"/>
      <c r="AE77" s="2058"/>
      <c r="AF77" s="2324"/>
      <c r="AG77" s="1314"/>
      <c r="AH77" s="1314"/>
      <c r="AI77" s="1314"/>
      <c r="AJ77" s="1314"/>
      <c r="AK77" s="2333">
        <v>11</v>
      </c>
    </row>
    <row s="61193" customFormat="1" customHeight="1" ht="11.549999999999999">
      <c r="A78" s="1679"/>
      <c r="B78" s="1679"/>
      <c r="C78" s="1679"/>
      <c r="D78" s="1679"/>
      <c r="E78" s="1679"/>
      <c r="F78" s="2328"/>
      <c r="G78" s="2328"/>
      <c r="H78" s="1043"/>
      <c r="N78" s="2058"/>
      <c r="P78" s="2058"/>
      <c r="Q78" s="2328"/>
      <c r="R78" s="2328"/>
      <c r="S78" s="2058"/>
      <c r="T78" s="2058"/>
      <c r="U78" s="2058"/>
      <c r="V78" s="2058"/>
      <c r="W78" s="2328"/>
      <c r="X78" s="2058"/>
      <c r="Y78" s="2058"/>
      <c r="Z78" s="1236"/>
      <c r="AA78" s="2058"/>
      <c r="AB78" s="2058"/>
      <c r="AC78" s="2058"/>
      <c r="AD78" s="2058"/>
      <c r="AE78" s="2058"/>
      <c r="AF78" s="2324"/>
      <c r="AG78" s="1314"/>
      <c r="AH78" s="1314"/>
      <c r="AI78" s="1314"/>
      <c r="AJ78" s="1314"/>
      <c r="AK78" s="2333">
        <v>11</v>
      </c>
    </row>
    <row s="61193" customFormat="1" customHeight="1" ht="11.549999999999999">
      <c r="A79" s="1679"/>
      <c r="B79" s="1679"/>
      <c r="C79" s="1679"/>
      <c r="D79" s="1679"/>
      <c r="E79" s="1679"/>
      <c r="F79" s="2328"/>
      <c r="G79" s="2328"/>
      <c r="H79" s="1043"/>
      <c r="N79" s="2058"/>
      <c r="P79" s="2058"/>
      <c r="Q79" s="2328"/>
      <c r="R79" s="2328"/>
      <c r="S79" s="2058"/>
      <c r="T79" s="2058"/>
      <c r="U79" s="2058"/>
      <c r="V79" s="2058"/>
      <c r="W79" s="2328"/>
      <c r="X79" s="2058"/>
      <c r="Y79" s="2058"/>
      <c r="Z79" s="1236"/>
      <c r="AA79" s="2058"/>
      <c r="AB79" s="2058"/>
      <c r="AC79" s="2058"/>
      <c r="AD79" s="2058"/>
      <c r="AE79" s="2058"/>
      <c r="AF79" s="2324"/>
      <c r="AG79" s="1314"/>
      <c r="AH79" s="1314"/>
      <c r="AI79" s="1314"/>
      <c r="AJ79" s="1314"/>
      <c r="AK79" s="2333">
        <v>11</v>
      </c>
    </row>
    <row s="61193" customFormat="1" customHeight="1" ht="11.549999999999999">
      <c r="A80" s="1679"/>
      <c r="B80" s="1679"/>
      <c r="C80" s="1679"/>
      <c r="D80" s="1679"/>
      <c r="E80" s="1679"/>
      <c r="F80" s="2328"/>
      <c r="G80" s="2328"/>
      <c r="H80" s="1043"/>
      <c r="N80" s="2058"/>
      <c r="P80" s="2058"/>
      <c r="Q80" s="2328"/>
      <c r="R80" s="2328"/>
      <c r="S80" s="2058"/>
      <c r="T80" s="2058"/>
      <c r="U80" s="2058"/>
      <c r="V80" s="2058"/>
      <c r="W80" s="2328"/>
      <c r="X80" s="2058"/>
      <c r="Y80" s="2058"/>
      <c r="Z80" s="1236"/>
      <c r="AA80" s="2058"/>
      <c r="AB80" s="2058"/>
      <c r="AC80" s="2058"/>
      <c r="AD80" s="2058"/>
      <c r="AE80" s="2058"/>
      <c r="AF80" s="2324"/>
      <c r="AG80" s="1314"/>
      <c r="AH80" s="1314"/>
      <c r="AI80" s="1314"/>
      <c r="AJ80" s="1314"/>
      <c r="AK80" s="2333">
        <v>11</v>
      </c>
    </row>
    <row s="61193" customFormat="1" customHeight="1" ht="11.549999999999999">
      <c r="A81" s="1679"/>
      <c r="B81" s="1679"/>
      <c r="C81" s="1679"/>
      <c r="D81" s="1679"/>
      <c r="E81" s="1679"/>
      <c r="F81" s="2328"/>
      <c r="G81" s="2328"/>
      <c r="H81" s="1043"/>
      <c r="N81" s="2058"/>
      <c r="P81" s="2058"/>
      <c r="Q81" s="2328"/>
      <c r="R81" s="2328"/>
      <c r="S81" s="2058"/>
      <c r="T81" s="2058"/>
      <c r="U81" s="2058"/>
      <c r="V81" s="2058"/>
      <c r="W81" s="2328"/>
      <c r="X81" s="2058"/>
      <c r="Y81" s="2058"/>
      <c r="Z81" s="1236"/>
      <c r="AA81" s="2058"/>
      <c r="AB81" s="2058"/>
      <c r="AC81" s="2058"/>
      <c r="AD81" s="2058"/>
      <c r="AE81" s="2058"/>
      <c r="AF81" s="2324"/>
      <c r="AG81" s="1314"/>
      <c r="AH81" s="1314"/>
      <c r="AI81" s="1314"/>
      <c r="AJ81" s="1314"/>
      <c r="AK81" s="2333">
        <v>11</v>
      </c>
    </row>
    <row s="61193" customFormat="1" customHeight="1" ht="11.549999999999999">
      <c r="A82" s="1679"/>
      <c r="B82" s="1679"/>
      <c r="C82" s="1679"/>
      <c r="D82" s="1679"/>
      <c r="E82" s="1679"/>
      <c r="F82" s="2328"/>
      <c r="G82" s="2328"/>
      <c r="H82" s="1043"/>
      <c r="N82" s="2058"/>
      <c r="P82" s="2058"/>
      <c r="Q82" s="2328"/>
      <c r="R82" s="2328"/>
      <c r="S82" s="2058"/>
      <c r="T82" s="2058"/>
      <c r="U82" s="2058"/>
      <c r="V82" s="2058"/>
      <c r="W82" s="2328"/>
      <c r="X82" s="2058"/>
      <c r="Y82" s="2058"/>
      <c r="Z82" s="1236"/>
      <c r="AA82" s="2058"/>
      <c r="AB82" s="2058"/>
      <c r="AC82" s="2058"/>
      <c r="AD82" s="2058"/>
      <c r="AE82" s="2058"/>
      <c r="AF82" s="2324"/>
      <c r="AG82" s="1314"/>
      <c r="AH82" s="1314"/>
      <c r="AI82" s="1314"/>
      <c r="AJ82" s="1314"/>
      <c r="AK82" s="2333">
        <v>11</v>
      </c>
    </row>
    <row s="61193" customFormat="1" customHeight="1" ht="11.549999999999999">
      <c r="A83" s="1679"/>
      <c r="B83" s="1679"/>
      <c r="C83" s="1679"/>
      <c r="D83" s="1679"/>
      <c r="E83" s="1679"/>
      <c r="F83" s="2328"/>
      <c r="G83" s="2328"/>
      <c r="H83" s="1043"/>
      <c r="N83" s="2058"/>
      <c r="P83" s="2058"/>
      <c r="Q83" s="2328"/>
      <c r="R83" s="2328"/>
      <c r="S83" s="2058"/>
      <c r="T83" s="2058"/>
      <c r="U83" s="2058"/>
      <c r="V83" s="2058"/>
      <c r="W83" s="2328"/>
      <c r="X83" s="2058"/>
      <c r="Y83" s="2058"/>
      <c r="Z83" s="1236"/>
      <c r="AA83" s="2058"/>
      <c r="AB83" s="2058"/>
      <c r="AC83" s="2058"/>
      <c r="AD83" s="2058"/>
      <c r="AE83" s="2058"/>
      <c r="AF83" s="2324"/>
      <c r="AG83" s="1314"/>
      <c r="AH83" s="1314"/>
      <c r="AI83" s="1314"/>
      <c r="AJ83" s="1314"/>
      <c r="AK83" s="2333">
        <v>11</v>
      </c>
    </row>
    <row s="61193" customFormat="1" customHeight="1" ht="11.549999999999999">
      <c r="A84" s="1679"/>
      <c r="B84" s="1679"/>
      <c r="C84" s="1679"/>
      <c r="D84" s="1679"/>
      <c r="E84" s="1679"/>
      <c r="F84" s="2328"/>
      <c r="G84" s="2328"/>
      <c r="H84" s="1043"/>
      <c r="N84" s="2058"/>
      <c r="P84" s="2058"/>
      <c r="Q84" s="2328"/>
      <c r="R84" s="2328"/>
      <c r="S84" s="2058"/>
      <c r="T84" s="2058"/>
      <c r="U84" s="2058"/>
      <c r="V84" s="2058"/>
      <c r="W84" s="2328"/>
      <c r="X84" s="2058"/>
      <c r="Y84" s="2058"/>
      <c r="Z84" s="1236"/>
      <c r="AA84" s="2058"/>
      <c r="AB84" s="2058"/>
      <c r="AC84" s="2058"/>
      <c r="AD84" s="2058"/>
      <c r="AE84" s="2058"/>
      <c r="AF84" s="2324"/>
      <c r="AG84" s="1314"/>
      <c r="AH84" s="1314"/>
      <c r="AI84" s="1314"/>
      <c r="AJ84" s="1314"/>
      <c r="AK84" s="2333">
        <v>11</v>
      </c>
    </row>
    <row s="61193" customFormat="1" customHeight="1" ht="11.549999999999999">
      <c r="A85" s="1679"/>
      <c r="B85" s="1679"/>
      <c r="C85" s="1679"/>
      <c r="D85" s="1679"/>
      <c r="E85" s="1679"/>
      <c r="F85" s="2328"/>
      <c r="G85" s="2328"/>
      <c r="H85" s="1043"/>
      <c r="N85" s="2058"/>
      <c r="P85" s="2058"/>
      <c r="Q85" s="2328"/>
      <c r="R85" s="2328"/>
      <c r="S85" s="2058"/>
      <c r="T85" s="2058"/>
      <c r="U85" s="2058"/>
      <c r="V85" s="2058"/>
      <c r="W85" s="2328"/>
      <c r="X85" s="2058"/>
      <c r="Y85" s="2058"/>
      <c r="Z85" s="1236"/>
      <c r="AA85" s="2058"/>
      <c r="AB85" s="2058"/>
      <c r="AC85" s="2058"/>
      <c r="AD85" s="2058"/>
      <c r="AE85" s="2058"/>
      <c r="AF85" s="2324"/>
      <c r="AG85" s="1314"/>
      <c r="AH85" s="1314"/>
      <c r="AI85" s="1314"/>
      <c r="AJ85" s="1314"/>
      <c r="AK85" s="2333">
        <v>11</v>
      </c>
    </row>
    <row s="61193" customFormat="1" customHeight="1" ht="11.549999999999999">
      <c r="A86" s="1679"/>
      <c r="B86" s="1679"/>
      <c r="C86" s="1679"/>
      <c r="D86" s="1679"/>
      <c r="E86" s="1679"/>
      <c r="F86" s="2328"/>
      <c r="G86" s="2328"/>
      <c r="H86" s="1043"/>
      <c r="N86" s="2058"/>
      <c r="P86" s="2058"/>
      <c r="Q86" s="2328"/>
      <c r="R86" s="2328"/>
      <c r="S86" s="2058"/>
      <c r="T86" s="2058"/>
      <c r="U86" s="2058"/>
      <c r="V86" s="2058"/>
      <c r="W86" s="2328"/>
      <c r="X86" s="2058"/>
      <c r="Y86" s="2058"/>
      <c r="Z86" s="1236"/>
      <c r="AA86" s="2058"/>
      <c r="AB86" s="2058"/>
      <c r="AC86" s="2058"/>
      <c r="AD86" s="2058"/>
      <c r="AE86" s="2058"/>
      <c r="AF86" s="2324"/>
      <c r="AG86" s="1314"/>
      <c r="AH86" s="1314"/>
      <c r="AI86" s="1314"/>
      <c r="AJ86" s="1314"/>
      <c r="AK86" s="2333">
        <v>11</v>
      </c>
    </row>
    <row s="61193" customFormat="1" customHeight="1" ht="11.549999999999999">
      <c r="A87" s="1679"/>
      <c r="B87" s="1679"/>
      <c r="C87" s="1679"/>
      <c r="D87" s="1679"/>
      <c r="E87" s="1679"/>
      <c r="F87" s="2328"/>
      <c r="G87" s="2328"/>
      <c r="H87" s="1043"/>
      <c r="N87" s="2058"/>
      <c r="P87" s="2058"/>
      <c r="Q87" s="2328"/>
      <c r="R87" s="2328"/>
      <c r="S87" s="2058"/>
      <c r="T87" s="2058"/>
      <c r="U87" s="2058"/>
      <c r="V87" s="2058"/>
      <c r="W87" s="2328"/>
      <c r="X87" s="2058"/>
      <c r="Y87" s="2058"/>
      <c r="Z87" s="1236"/>
      <c r="AA87" s="2058"/>
      <c r="AB87" s="2058"/>
      <c r="AC87" s="2058"/>
      <c r="AD87" s="2058"/>
      <c r="AE87" s="2058"/>
      <c r="AF87" s="2324"/>
      <c r="AG87" s="1314"/>
      <c r="AH87" s="1314"/>
      <c r="AI87" s="1314"/>
      <c r="AJ87" s="1314"/>
      <c r="AK87" s="2333">
        <v>11</v>
      </c>
    </row>
    <row s="61193" customFormat="1" customHeight="1" ht="11.549999999999999">
      <c r="A88" s="1679"/>
      <c r="B88" s="1679"/>
      <c r="C88" s="1679"/>
      <c r="D88" s="1679"/>
      <c r="E88" s="1679"/>
      <c r="F88" s="2328"/>
      <c r="G88" s="2328"/>
      <c r="H88" s="1043"/>
      <c r="N88" s="2058"/>
      <c r="P88" s="2058"/>
      <c r="Q88" s="2328"/>
      <c r="R88" s="2328"/>
      <c r="S88" s="2058"/>
      <c r="T88" s="2058"/>
      <c r="U88" s="2058"/>
      <c r="V88" s="2058"/>
      <c r="W88" s="2328"/>
      <c r="X88" s="2058"/>
      <c r="Y88" s="2058"/>
      <c r="Z88" s="1236"/>
      <c r="AA88" s="2058"/>
      <c r="AB88" s="2058"/>
      <c r="AC88" s="2058"/>
      <c r="AD88" s="2058"/>
      <c r="AE88" s="2058"/>
      <c r="AF88" s="2324"/>
      <c r="AG88" s="1314"/>
      <c r="AH88" s="1314"/>
      <c r="AI88" s="1314"/>
      <c r="AJ88" s="1314"/>
      <c r="AK88" s="2333">
        <v>11</v>
      </c>
    </row>
    <row s="61193" customFormat="1" customHeight="1" ht="11.549999999999999">
      <c r="A89" s="1679"/>
      <c r="B89" s="1679"/>
      <c r="C89" s="1679"/>
      <c r="D89" s="1679"/>
      <c r="E89" s="1679"/>
      <c r="F89" s="2328"/>
      <c r="G89" s="2328"/>
      <c r="H89" s="1043"/>
      <c r="N89" s="2058"/>
      <c r="P89" s="2058"/>
      <c r="Q89" s="2328"/>
      <c r="R89" s="2328"/>
      <c r="S89" s="2058"/>
      <c r="T89" s="2058"/>
      <c r="U89" s="2058"/>
      <c r="V89" s="2058"/>
      <c r="W89" s="2328"/>
      <c r="X89" s="2058"/>
      <c r="Y89" s="2058"/>
      <c r="Z89" s="1236"/>
      <c r="AA89" s="2058"/>
      <c r="AB89" s="2058"/>
      <c r="AC89" s="2058"/>
      <c r="AD89" s="2058"/>
      <c r="AE89" s="2058"/>
      <c r="AF89" s="2324"/>
      <c r="AG89" s="1314"/>
      <c r="AH89" s="1314"/>
      <c r="AI89" s="1314"/>
      <c r="AJ89" s="1314"/>
      <c r="AK89" s="2333">
        <v>11</v>
      </c>
    </row>
    <row s="61193" customFormat="1" customHeight="1" ht="11.549999999999999">
      <c r="A90" s="1679"/>
      <c r="B90" s="1679"/>
      <c r="C90" s="1679"/>
      <c r="D90" s="1679"/>
      <c r="E90" s="1679"/>
      <c r="F90" s="2328"/>
      <c r="G90" s="2328"/>
      <c r="H90" s="1043"/>
      <c r="N90" s="2058"/>
      <c r="P90" s="2058"/>
      <c r="Q90" s="2328"/>
      <c r="R90" s="2328"/>
      <c r="S90" s="2058"/>
      <c r="T90" s="2058"/>
      <c r="U90" s="2058"/>
      <c r="V90" s="2058"/>
      <c r="W90" s="2328"/>
      <c r="X90" s="2058"/>
      <c r="Y90" s="2058"/>
      <c r="Z90" s="1236"/>
      <c r="AA90" s="2058"/>
      <c r="AB90" s="2058"/>
      <c r="AC90" s="2058"/>
      <c r="AD90" s="2058"/>
      <c r="AE90" s="2058"/>
      <c r="AF90" s="2324"/>
      <c r="AG90" s="1314"/>
      <c r="AH90" s="1314"/>
      <c r="AI90" s="1314"/>
      <c r="AJ90" s="1314"/>
      <c r="AK90" s="2333">
        <v>11</v>
      </c>
    </row>
    <row s="61193" customFormat="1" customHeight="1" ht="11.549999999999999">
      <c r="A91" s="1679"/>
      <c r="B91" s="1679"/>
      <c r="C91" s="1679"/>
      <c r="D91" s="1679"/>
      <c r="E91" s="1679"/>
      <c r="F91" s="2328"/>
      <c r="G91" s="2328"/>
      <c r="H91" s="1043"/>
      <c r="N91" s="2058"/>
      <c r="P91" s="2058"/>
      <c r="Q91" s="2328"/>
      <c r="R91" s="2328"/>
      <c r="S91" s="2058"/>
      <c r="T91" s="2058"/>
      <c r="U91" s="2058"/>
      <c r="V91" s="2058"/>
      <c r="W91" s="2328"/>
      <c r="X91" s="2058"/>
      <c r="Y91" s="2058"/>
      <c r="Z91" s="1236"/>
      <c r="AA91" s="2058"/>
      <c r="AB91" s="2058"/>
      <c r="AC91" s="2058"/>
      <c r="AD91" s="2058"/>
      <c r="AE91" s="2058"/>
      <c r="AF91" s="2324"/>
      <c r="AG91" s="1314"/>
      <c r="AH91" s="1314"/>
      <c r="AI91" s="1314"/>
      <c r="AJ91" s="1314"/>
      <c r="AK91" s="2333">
        <v>11</v>
      </c>
    </row>
    <row s="61193" customFormat="1" customHeight="1" ht="11.549999999999999">
      <c r="A92" s="1679"/>
      <c r="B92" s="1679"/>
      <c r="C92" s="1679"/>
      <c r="D92" s="1679"/>
      <c r="E92" s="1679"/>
      <c r="F92" s="2328"/>
      <c r="G92" s="2328"/>
      <c r="H92" s="1043"/>
      <c r="N92" s="2058"/>
      <c r="P92" s="2058"/>
      <c r="Q92" s="2328"/>
      <c r="R92" s="2328"/>
      <c r="S92" s="2058"/>
      <c r="T92" s="2058"/>
      <c r="U92" s="2058"/>
      <c r="V92" s="2058"/>
      <c r="W92" s="2328"/>
      <c r="X92" s="2058"/>
      <c r="Y92" s="2058"/>
      <c r="Z92" s="1236"/>
      <c r="AA92" s="2058"/>
      <c r="AB92" s="2058"/>
      <c r="AC92" s="2058"/>
      <c r="AD92" s="2058"/>
      <c r="AE92" s="2058"/>
      <c r="AF92" s="2324"/>
      <c r="AG92" s="1314"/>
      <c r="AH92" s="1314"/>
      <c r="AI92" s="1314"/>
      <c r="AJ92" s="1314"/>
      <c r="AK92" s="2333">
        <v>11</v>
      </c>
    </row>
    <row s="61193" customFormat="1" customHeight="1" ht="11.549999999999999">
      <c r="A93" s="1679"/>
      <c r="B93" s="1679"/>
      <c r="C93" s="1679"/>
      <c r="D93" s="1679"/>
      <c r="E93" s="1679"/>
      <c r="F93" s="2328"/>
      <c r="G93" s="2328"/>
      <c r="H93" s="1043"/>
      <c r="N93" s="2058"/>
      <c r="P93" s="2058"/>
      <c r="Q93" s="2328"/>
      <c r="R93" s="2328"/>
      <c r="S93" s="2058"/>
      <c r="T93" s="2058"/>
      <c r="U93" s="2058"/>
      <c r="V93" s="2058"/>
      <c r="W93" s="2328"/>
      <c r="X93" s="2058"/>
      <c r="Y93" s="2058"/>
      <c r="Z93" s="1236"/>
      <c r="AA93" s="2058"/>
      <c r="AB93" s="2058"/>
      <c r="AC93" s="2058"/>
      <c r="AD93" s="2058"/>
      <c r="AE93" s="2058"/>
      <c r="AF93" s="2324"/>
      <c r="AG93" s="1314"/>
      <c r="AH93" s="1314"/>
      <c r="AI93" s="1314"/>
      <c r="AJ93" s="1314"/>
      <c r="AK93" s="2333">
        <v>11</v>
      </c>
    </row>
    <row s="61193" customFormat="1" customHeight="1" ht="11.549999999999999">
      <c r="A94" s="1679"/>
      <c r="B94" s="1679"/>
      <c r="C94" s="1679"/>
      <c r="D94" s="1679"/>
      <c r="E94" s="1679"/>
      <c r="F94" s="2328"/>
      <c r="G94" s="2328"/>
      <c r="H94" s="1043"/>
      <c r="N94" s="2058"/>
      <c r="P94" s="2058"/>
      <c r="Q94" s="2328"/>
      <c r="R94" s="2328"/>
      <c r="S94" s="2058"/>
      <c r="T94" s="2058"/>
      <c r="U94" s="2058"/>
      <c r="V94" s="2058"/>
      <c r="W94" s="2328"/>
      <c r="X94" s="2058"/>
      <c r="Y94" s="2058"/>
      <c r="Z94" s="1236"/>
      <c r="AA94" s="2058"/>
      <c r="AB94" s="2058"/>
      <c r="AC94" s="2058"/>
      <c r="AD94" s="2058"/>
      <c r="AE94" s="2058"/>
      <c r="AF94" s="2324"/>
      <c r="AG94" s="1314"/>
      <c r="AH94" s="1314"/>
      <c r="AI94" s="1314"/>
      <c r="AJ94" s="1314"/>
      <c r="AK94" s="2333">
        <v>11</v>
      </c>
    </row>
    <row s="61193" customFormat="1" customHeight="1" ht="11.549999999999999">
      <c r="A95" s="1679"/>
      <c r="B95" s="1679"/>
      <c r="C95" s="1679"/>
      <c r="D95" s="1679"/>
      <c r="E95" s="1679"/>
      <c r="F95" s="2328"/>
      <c r="G95" s="2328"/>
      <c r="H95" s="1043"/>
      <c r="N95" s="2058"/>
      <c r="P95" s="2058"/>
      <c r="Q95" s="2328"/>
      <c r="R95" s="2328"/>
      <c r="S95" s="2058"/>
      <c r="T95" s="2058"/>
      <c r="U95" s="2058"/>
      <c r="V95" s="2058"/>
      <c r="W95" s="2328"/>
      <c r="X95" s="2058"/>
      <c r="Y95" s="2058"/>
      <c r="Z95" s="1236"/>
      <c r="AA95" s="2058"/>
      <c r="AB95" s="2058"/>
      <c r="AC95" s="2058"/>
      <c r="AD95" s="2058"/>
      <c r="AE95" s="2058"/>
      <c r="AF95" s="2324"/>
      <c r="AG95" s="1314"/>
      <c r="AH95" s="1314"/>
      <c r="AI95" s="1314"/>
      <c r="AJ95" s="1314"/>
      <c r="AK95" s="2333">
        <v>11</v>
      </c>
    </row>
    <row s="61193" customFormat="1" customHeight="1" ht="11.549999999999999">
      <c r="A96" s="1679"/>
      <c r="B96" s="1679"/>
      <c r="C96" s="1679"/>
      <c r="D96" s="1679"/>
      <c r="E96" s="1679"/>
      <c r="F96" s="2328"/>
      <c r="G96" s="2328"/>
      <c r="H96" s="1043"/>
      <c r="N96" s="2058"/>
      <c r="P96" s="2058"/>
      <c r="Q96" s="2328"/>
      <c r="R96" s="2328"/>
      <c r="S96" s="2058"/>
      <c r="T96" s="2058"/>
      <c r="U96" s="2058"/>
      <c r="V96" s="2058"/>
      <c r="W96" s="2328"/>
      <c r="X96" s="2058"/>
      <c r="Y96" s="2058"/>
      <c r="Z96" s="1236"/>
      <c r="AA96" s="2058"/>
      <c r="AB96" s="2058"/>
      <c r="AC96" s="2058"/>
      <c r="AD96" s="2058"/>
      <c r="AE96" s="2058"/>
      <c r="AF96" s="2324"/>
      <c r="AG96" s="1314"/>
      <c r="AH96" s="1314"/>
      <c r="AI96" s="1314"/>
      <c r="AJ96" s="1314"/>
      <c r="AK96" s="2333">
        <v>11</v>
      </c>
    </row>
    <row s="61193" customFormat="1" customHeight="1" ht="11.549999999999999">
      <c r="A97" s="1679"/>
      <c r="B97" s="1679"/>
      <c r="C97" s="1679"/>
      <c r="D97" s="1679"/>
      <c r="E97" s="1679"/>
      <c r="F97" s="2328"/>
      <c r="G97" s="2328"/>
      <c r="H97" s="1043"/>
      <c r="N97" s="2058"/>
      <c r="P97" s="2058"/>
      <c r="Q97" s="2328"/>
      <c r="R97" s="2328"/>
      <c r="S97" s="2058"/>
      <c r="T97" s="2058"/>
      <c r="U97" s="2058"/>
      <c r="V97" s="2058"/>
      <c r="W97" s="2328"/>
      <c r="X97" s="2058"/>
      <c r="Y97" s="2058"/>
      <c r="Z97" s="1236"/>
      <c r="AA97" s="2058"/>
      <c r="AB97" s="2058"/>
      <c r="AC97" s="2058"/>
      <c r="AD97" s="2058"/>
      <c r="AE97" s="2058"/>
      <c r="AF97" s="2324"/>
      <c r="AG97" s="1314"/>
      <c r="AH97" s="1314"/>
      <c r="AI97" s="1314"/>
      <c r="AJ97" s="1314"/>
      <c r="AK97" s="2333">
        <v>11</v>
      </c>
    </row>
    <row s="61193" customFormat="1" customHeight="1" ht="11.549999999999999">
      <c r="A98" s="1679"/>
      <c r="B98" s="1679"/>
      <c r="C98" s="1679"/>
      <c r="D98" s="1679"/>
      <c r="E98" s="1679"/>
      <c r="F98" s="2328"/>
      <c r="G98" s="2328"/>
      <c r="H98" s="1043"/>
      <c r="N98" s="2058"/>
      <c r="P98" s="2058"/>
      <c r="Q98" s="2328"/>
      <c r="R98" s="2328"/>
      <c r="S98" s="2058"/>
      <c r="T98" s="2058"/>
      <c r="U98" s="2058"/>
      <c r="V98" s="2058"/>
      <c r="W98" s="2328"/>
      <c r="X98" s="2058"/>
      <c r="Y98" s="2058"/>
      <c r="Z98" s="1236"/>
      <c r="AA98" s="2058"/>
      <c r="AB98" s="2058"/>
      <c r="AC98" s="2058"/>
      <c r="AD98" s="2058"/>
      <c r="AE98" s="2058"/>
      <c r="AF98" s="2324"/>
      <c r="AG98" s="1314"/>
      <c r="AH98" s="1314"/>
      <c r="AI98" s="1314"/>
      <c r="AJ98" s="1314"/>
      <c r="AK98" s="2333">
        <v>11</v>
      </c>
    </row>
    <row s="61193" customFormat="1" customHeight="1" ht="11.549999999999999">
      <c r="A99" s="1679"/>
      <c r="B99" s="1679"/>
      <c r="C99" s="1679"/>
      <c r="D99" s="1679"/>
      <c r="E99" s="1679"/>
      <c r="F99" s="2328"/>
      <c r="G99" s="2328"/>
      <c r="H99" s="1043"/>
      <c r="N99" s="2058"/>
      <c r="P99" s="2058"/>
      <c r="Q99" s="2328"/>
      <c r="R99" s="2328"/>
      <c r="S99" s="2058"/>
      <c r="T99" s="2058"/>
      <c r="U99" s="2058"/>
      <c r="V99" s="2058"/>
      <c r="W99" s="2328"/>
      <c r="X99" s="2058"/>
      <c r="Y99" s="2058"/>
      <c r="Z99" s="1236"/>
      <c r="AA99" s="2058"/>
      <c r="AB99" s="2058"/>
      <c r="AC99" s="2058"/>
      <c r="AD99" s="2058"/>
      <c r="AE99" s="2058"/>
      <c r="AF99" s="2324"/>
      <c r="AG99" s="1314"/>
      <c r="AH99" s="1314"/>
      <c r="AI99" s="1314"/>
      <c r="AJ99" s="1314"/>
      <c r="AK99" s="2333">
        <v>11</v>
      </c>
    </row>
    <row s="61193" customFormat="1" customHeight="1" ht="11.549999999999999">
      <c r="A100" s="1679"/>
      <c r="B100" s="1679"/>
      <c r="C100" s="1679"/>
      <c r="D100" s="1679"/>
      <c r="E100" s="1679"/>
      <c r="F100" s="2328"/>
      <c r="G100" s="2328"/>
      <c r="H100" s="1043"/>
      <c r="N100" s="2058"/>
      <c r="P100" s="2058"/>
      <c r="Q100" s="2328"/>
      <c r="R100" s="2328"/>
      <c r="S100" s="2058"/>
      <c r="T100" s="2058"/>
      <c r="U100" s="2058"/>
      <c r="V100" s="2058"/>
      <c r="W100" s="2328"/>
      <c r="X100" s="2058"/>
      <c r="Y100" s="2058"/>
      <c r="Z100" s="1236"/>
      <c r="AA100" s="2058"/>
      <c r="AB100" s="2058"/>
      <c r="AC100" s="2058"/>
      <c r="AD100" s="2058"/>
      <c r="AE100" s="2058"/>
      <c r="AF100" s="2324"/>
      <c r="AG100" s="1314"/>
      <c r="AH100" s="1314"/>
      <c r="AI100" s="1314"/>
      <c r="AJ100" s="1314"/>
      <c r="AK100" s="2333">
        <v>11</v>
      </c>
    </row>
    <row s="61193" customFormat="1" customHeight="1" ht="11.549999999999999">
      <c r="A101" s="1679"/>
      <c r="B101" s="1679"/>
      <c r="C101" s="1679"/>
      <c r="D101" s="1679"/>
      <c r="E101" s="1679"/>
      <c r="F101" s="2328"/>
      <c r="G101" s="2328"/>
      <c r="H101" s="1043"/>
      <c r="N101" s="2058"/>
      <c r="P101" s="2058"/>
      <c r="Q101" s="2328"/>
      <c r="R101" s="2328"/>
      <c r="S101" s="2058"/>
      <c r="T101" s="2058"/>
      <c r="U101" s="2058"/>
      <c r="V101" s="2058"/>
      <c r="W101" s="2328"/>
      <c r="X101" s="2058"/>
      <c r="Y101" s="2058"/>
      <c r="Z101" s="1236"/>
      <c r="AA101" s="2058"/>
      <c r="AB101" s="2058"/>
      <c r="AC101" s="2058"/>
      <c r="AD101" s="2058"/>
      <c r="AE101" s="2058"/>
      <c r="AF101" s="2324"/>
      <c r="AG101" s="1314"/>
      <c r="AH101" s="1314"/>
      <c r="AI101" s="1314"/>
      <c r="AJ101" s="1314"/>
      <c r="AK101" s="2333">
        <v>11</v>
      </c>
    </row>
    <row s="61193" customFormat="1" customHeight="1" ht="11.549999999999999">
      <c r="A102" s="1679"/>
      <c r="B102" s="1679"/>
      <c r="C102" s="1679"/>
      <c r="D102" s="1679"/>
      <c r="E102" s="1679"/>
      <c r="F102" s="2328"/>
      <c r="G102" s="2328"/>
      <c r="H102" s="1043"/>
      <c r="N102" s="2058"/>
      <c r="P102" s="2058"/>
      <c r="Q102" s="2328"/>
      <c r="R102" s="2328"/>
      <c r="S102" s="2058"/>
      <c r="T102" s="2058"/>
      <c r="U102" s="2058"/>
      <c r="V102" s="2058"/>
      <c r="W102" s="2328"/>
      <c r="X102" s="2058"/>
      <c r="Y102" s="2058"/>
      <c r="Z102" s="1236"/>
      <c r="AA102" s="2058"/>
      <c r="AB102" s="2058"/>
      <c r="AC102" s="2058"/>
      <c r="AD102" s="2058"/>
      <c r="AE102" s="2058"/>
      <c r="AF102" s="2324"/>
      <c r="AG102" s="1314"/>
      <c r="AH102" s="1314"/>
      <c r="AI102" s="1314"/>
      <c r="AJ102" s="1314"/>
      <c r="AK102" s="2333">
        <v>11</v>
      </c>
    </row>
    <row s="61193" customFormat="1" customHeight="1" ht="11.549999999999999">
      <c r="A103" s="1679"/>
      <c r="B103" s="1679"/>
      <c r="C103" s="1679"/>
      <c r="D103" s="1679"/>
      <c r="E103" s="1679"/>
      <c r="F103" s="2328"/>
      <c r="G103" s="2328"/>
      <c r="H103" s="1043"/>
      <c r="N103" s="2058"/>
      <c r="P103" s="2058"/>
      <c r="Q103" s="2328"/>
      <c r="R103" s="2328"/>
      <c r="S103" s="2058"/>
      <c r="T103" s="2058"/>
      <c r="U103" s="2058"/>
      <c r="V103" s="2058"/>
      <c r="W103" s="2328"/>
      <c r="X103" s="2058"/>
      <c r="Y103" s="2058"/>
      <c r="Z103" s="1236"/>
      <c r="AA103" s="2058"/>
      <c r="AB103" s="2058"/>
      <c r="AC103" s="2058"/>
      <c r="AD103" s="2058"/>
      <c r="AE103" s="2058"/>
      <c r="AF103" s="2324"/>
      <c r="AG103" s="1314"/>
      <c r="AH103" s="1314"/>
      <c r="AI103" s="1314"/>
      <c r="AJ103" s="1314"/>
      <c r="AK103" s="2333">
        <v>11</v>
      </c>
    </row>
    <row s="61193" customFormat="1" customHeight="1" ht="11.549999999999999">
      <c r="A104" s="1679"/>
      <c r="B104" s="1679"/>
      <c r="C104" s="1679"/>
      <c r="D104" s="1679"/>
      <c r="E104" s="1679"/>
      <c r="F104" s="2328"/>
      <c r="G104" s="2328"/>
      <c r="H104" s="1043"/>
      <c r="N104" s="2058"/>
      <c r="P104" s="2058"/>
      <c r="Q104" s="2328"/>
      <c r="R104" s="2328"/>
      <c r="S104" s="2058"/>
      <c r="T104" s="2058"/>
      <c r="U104" s="2058"/>
      <c r="V104" s="2058"/>
      <c r="W104" s="2328"/>
      <c r="X104" s="2058"/>
      <c r="Y104" s="2058"/>
      <c r="Z104" s="1236"/>
      <c r="AA104" s="2058"/>
      <c r="AB104" s="2058"/>
      <c r="AC104" s="2058"/>
      <c r="AD104" s="2058"/>
      <c r="AE104" s="2058"/>
      <c r="AF104" s="2324"/>
      <c r="AG104" s="1314"/>
      <c r="AH104" s="1314"/>
      <c r="AI104" s="1314"/>
      <c r="AJ104" s="1314"/>
      <c r="AK104" s="2333">
        <v>11</v>
      </c>
    </row>
    <row s="61193" customFormat="1" customHeight="1" ht="11.549999999999999">
      <c r="A105" s="1679"/>
      <c r="B105" s="1679"/>
      <c r="C105" s="1679"/>
      <c r="D105" s="1679"/>
      <c r="E105" s="1679"/>
      <c r="F105" s="2328"/>
      <c r="G105" s="2328"/>
      <c r="H105" s="1043"/>
      <c r="N105" s="2058"/>
      <c r="P105" s="2058"/>
      <c r="Q105" s="2328"/>
      <c r="R105" s="2328"/>
      <c r="S105" s="2058"/>
      <c r="T105" s="2058"/>
      <c r="U105" s="2058"/>
      <c r="V105" s="2058"/>
      <c r="W105" s="2328"/>
      <c r="X105" s="2058"/>
      <c r="Y105" s="2058"/>
      <c r="Z105" s="1236"/>
      <c r="AA105" s="2058"/>
      <c r="AB105" s="2058"/>
      <c r="AC105" s="2058"/>
      <c r="AD105" s="2058"/>
      <c r="AE105" s="2058"/>
      <c r="AF105" s="2324"/>
      <c r="AG105" s="1314"/>
      <c r="AH105" s="1314"/>
      <c r="AI105" s="1314"/>
      <c r="AJ105" s="1314"/>
      <c r="AK105" s="2333">
        <v>11</v>
      </c>
    </row>
    <row s="61193" customFormat="1" customHeight="1" ht="11.549999999999999">
      <c r="A106" s="1679"/>
      <c r="B106" s="1679"/>
      <c r="C106" s="1679"/>
      <c r="D106" s="1679"/>
      <c r="E106" s="1679"/>
      <c r="F106" s="2328"/>
      <c r="G106" s="2328"/>
      <c r="H106" s="1043"/>
      <c r="N106" s="2058"/>
      <c r="P106" s="2058"/>
      <c r="Q106" s="2328"/>
      <c r="R106" s="2328"/>
      <c r="S106" s="2058"/>
      <c r="T106" s="2058"/>
      <c r="U106" s="2058"/>
      <c r="V106" s="2058"/>
      <c r="W106" s="2328"/>
      <c r="X106" s="2058"/>
      <c r="Y106" s="2058"/>
      <c r="Z106" s="1236"/>
      <c r="AA106" s="2058"/>
      <c r="AB106" s="2058"/>
      <c r="AC106" s="2058"/>
      <c r="AD106" s="2058"/>
      <c r="AE106" s="2058"/>
      <c r="AF106" s="2324"/>
      <c r="AG106" s="1314"/>
      <c r="AH106" s="1314"/>
      <c r="AI106" s="1314"/>
      <c r="AJ106" s="1314"/>
      <c r="AK106" s="2333">
        <v>11</v>
      </c>
    </row>
    <row s="61193" customFormat="1" customHeight="1" ht="11.549999999999999">
      <c r="A107" s="1679"/>
      <c r="B107" s="1679"/>
      <c r="C107" s="1679"/>
      <c r="D107" s="1679"/>
      <c r="E107" s="1679"/>
      <c r="F107" s="2328"/>
      <c r="G107" s="2328"/>
      <c r="H107" s="1043"/>
      <c r="N107" s="2058"/>
      <c r="P107" s="2058"/>
      <c r="Q107" s="2328"/>
      <c r="R107" s="2328"/>
      <c r="S107" s="2058"/>
      <c r="T107" s="2058"/>
      <c r="U107" s="2058"/>
      <c r="V107" s="2058"/>
      <c r="W107" s="2328"/>
      <c r="X107" s="2058"/>
      <c r="Y107" s="2058"/>
      <c r="Z107" s="1236"/>
      <c r="AA107" s="2058"/>
      <c r="AB107" s="2058"/>
      <c r="AC107" s="2058"/>
      <c r="AD107" s="2058"/>
      <c r="AE107" s="2058"/>
      <c r="AF107" s="2324"/>
      <c r="AG107" s="1314"/>
      <c r="AH107" s="1314"/>
      <c r="AI107" s="1314"/>
      <c r="AJ107" s="1314"/>
      <c r="AK107" s="2333">
        <v>11</v>
      </c>
    </row>
    <row s="61193" customFormat="1" customHeight="1" ht="11.549999999999999">
      <c r="A108" s="1679"/>
      <c r="B108" s="1679"/>
      <c r="C108" s="1679"/>
      <c r="D108" s="1679"/>
      <c r="E108" s="1679"/>
      <c r="F108" s="2328"/>
      <c r="G108" s="2328"/>
      <c r="H108" s="1043"/>
      <c r="N108" s="2058"/>
      <c r="P108" s="2058"/>
      <c r="Q108" s="2328"/>
      <c r="R108" s="2328"/>
      <c r="S108" s="2058"/>
      <c r="T108" s="2058"/>
      <c r="U108" s="2058"/>
      <c r="V108" s="2058"/>
      <c r="W108" s="2328"/>
      <c r="X108" s="2058"/>
      <c r="Y108" s="2058"/>
      <c r="Z108" s="1236"/>
      <c r="AA108" s="2058"/>
      <c r="AB108" s="2058"/>
      <c r="AC108" s="2058"/>
      <c r="AD108" s="2058"/>
      <c r="AE108" s="2058"/>
      <c r="AF108" s="2324"/>
      <c r="AG108" s="1314"/>
      <c r="AH108" s="1314"/>
      <c r="AI108" s="1314"/>
      <c r="AJ108" s="1314"/>
      <c r="AK108" s="2333">
        <v>11</v>
      </c>
    </row>
    <row s="61193" customFormat="1" customHeight="1" ht="11.549999999999999">
      <c r="A109" s="1679"/>
      <c r="B109" s="1679"/>
      <c r="C109" s="1679"/>
      <c r="D109" s="1679"/>
      <c r="E109" s="1679"/>
      <c r="F109" s="2328"/>
      <c r="G109" s="2328"/>
      <c r="H109" s="1043"/>
      <c r="N109" s="2058"/>
      <c r="P109" s="2058"/>
      <c r="Q109" s="2328"/>
      <c r="R109" s="2328"/>
      <c r="S109" s="2058"/>
      <c r="T109" s="2058"/>
      <c r="U109" s="2058"/>
      <c r="V109" s="2058"/>
      <c r="W109" s="2328"/>
      <c r="X109" s="2058"/>
      <c r="Y109" s="2058"/>
      <c r="Z109" s="1236"/>
      <c r="AA109" s="2058"/>
      <c r="AB109" s="2058"/>
      <c r="AC109" s="2058"/>
      <c r="AD109" s="2058"/>
      <c r="AE109" s="2058"/>
      <c r="AF109" s="2324"/>
      <c r="AG109" s="1314"/>
      <c r="AH109" s="1314"/>
      <c r="AI109" s="1314"/>
      <c r="AJ109" s="1314"/>
      <c r="AK109" s="2333">
        <v>11</v>
      </c>
    </row>
    <row s="61193" customFormat="1" customHeight="1" ht="11.549999999999999">
      <c r="A110" s="1679"/>
      <c r="B110" s="1679"/>
      <c r="C110" s="1679"/>
      <c r="D110" s="1679"/>
      <c r="E110" s="1679"/>
      <c r="F110" s="2328"/>
      <c r="G110" s="2328"/>
      <c r="H110" s="1043"/>
      <c r="N110" s="2058"/>
      <c r="P110" s="2058"/>
      <c r="Q110" s="2328"/>
      <c r="R110" s="2328"/>
      <c r="S110" s="2058"/>
      <c r="T110" s="2058"/>
      <c r="U110" s="2058"/>
      <c r="V110" s="2058"/>
      <c r="W110" s="2328"/>
      <c r="X110" s="2058"/>
      <c r="Y110" s="2058"/>
      <c r="Z110" s="1236"/>
      <c r="AA110" s="2058"/>
      <c r="AB110" s="2058"/>
      <c r="AC110" s="2058"/>
      <c r="AD110" s="2058"/>
      <c r="AE110" s="2058"/>
      <c r="AF110" s="2324"/>
      <c r="AG110" s="1314"/>
      <c r="AH110" s="1314"/>
      <c r="AI110" s="1314"/>
      <c r="AJ110" s="1314"/>
      <c r="AK110" s="2333">
        <v>11</v>
      </c>
    </row>
    <row s="61193" customFormat="1" customHeight="1" ht="11.549999999999999">
      <c r="A111" s="1679"/>
      <c r="B111" s="1679"/>
      <c r="C111" s="1679"/>
      <c r="D111" s="1679"/>
      <c r="E111" s="1679"/>
      <c r="F111" s="2328"/>
      <c r="G111" s="2328"/>
      <c r="H111" s="1043"/>
      <c r="N111" s="2058"/>
      <c r="P111" s="2058"/>
      <c r="Q111" s="2328"/>
      <c r="R111" s="2328"/>
      <c r="S111" s="2058"/>
      <c r="T111" s="2058"/>
      <c r="U111" s="2058"/>
      <c r="V111" s="2058"/>
      <c r="W111" s="2328"/>
      <c r="X111" s="2058"/>
      <c r="Y111" s="2058"/>
      <c r="Z111" s="1236"/>
      <c r="AA111" s="2058"/>
      <c r="AB111" s="2058"/>
      <c r="AC111" s="2058"/>
      <c r="AD111" s="2058"/>
      <c r="AE111" s="2058"/>
      <c r="AF111" s="2324"/>
      <c r="AG111" s="1314"/>
      <c r="AH111" s="1314"/>
      <c r="AI111" s="1314"/>
      <c r="AJ111" s="1314"/>
      <c r="AK111" s="2333">
        <v>11</v>
      </c>
    </row>
    <row s="61193" customFormat="1" customHeight="1" ht="11.549999999999999">
      <c r="A112" s="1679"/>
      <c r="B112" s="1679"/>
      <c r="C112" s="1679"/>
      <c r="D112" s="1679"/>
      <c r="E112" s="1679"/>
      <c r="F112" s="2328"/>
      <c r="G112" s="2328"/>
      <c r="H112" s="1043"/>
      <c r="N112" s="2058"/>
      <c r="P112" s="2058"/>
      <c r="Q112" s="2328"/>
      <c r="R112" s="2328"/>
      <c r="S112" s="2058"/>
      <c r="T112" s="2058"/>
      <c r="U112" s="2058"/>
      <c r="V112" s="2058"/>
      <c r="W112" s="2328"/>
      <c r="X112" s="2058"/>
      <c r="Y112" s="2058"/>
      <c r="Z112" s="1236"/>
      <c r="AA112" s="2058"/>
      <c r="AB112" s="2058"/>
      <c r="AC112" s="2058"/>
      <c r="AD112" s="2058"/>
      <c r="AE112" s="2058"/>
      <c r="AF112" s="2324"/>
      <c r="AG112" s="1314"/>
      <c r="AH112" s="1314"/>
      <c r="AI112" s="1314"/>
      <c r="AJ112" s="1314"/>
      <c r="AK112" s="2333">
        <v>11</v>
      </c>
    </row>
    <row s="61193" customFormat="1" customHeight="1" ht="11.549999999999999">
      <c r="A113" s="1679"/>
      <c r="B113" s="1679"/>
      <c r="C113" s="1679"/>
      <c r="D113" s="1679"/>
      <c r="E113" s="1679"/>
      <c r="F113" s="2328"/>
      <c r="G113" s="2328"/>
      <c r="H113" s="1043"/>
      <c r="N113" s="2058"/>
      <c r="P113" s="2058"/>
      <c r="Q113" s="2328"/>
      <c r="R113" s="2328"/>
      <c r="S113" s="2058"/>
      <c r="T113" s="2058"/>
      <c r="U113" s="2058"/>
      <c r="V113" s="2058"/>
      <c r="W113" s="2328"/>
      <c r="X113" s="2058"/>
      <c r="Y113" s="2058"/>
      <c r="Z113" s="1236"/>
      <c r="AA113" s="2058"/>
      <c r="AB113" s="2058"/>
      <c r="AC113" s="2058"/>
      <c r="AD113" s="2058"/>
      <c r="AE113" s="2058"/>
      <c r="AF113" s="2324"/>
      <c r="AG113" s="1314"/>
      <c r="AH113" s="1314"/>
      <c r="AI113" s="1314"/>
      <c r="AJ113" s="1314"/>
      <c r="AK113" s="2333">
        <v>11</v>
      </c>
    </row>
    <row s="61193" customFormat="1" customHeight="1" ht="11.549999999999999">
      <c r="A114" s="1679"/>
      <c r="B114" s="1679"/>
      <c r="C114" s="1679"/>
      <c r="D114" s="1679"/>
      <c r="E114" s="1679"/>
      <c r="F114" s="2328"/>
      <c r="G114" s="2328"/>
      <c r="H114" s="1043"/>
      <c r="N114" s="2058"/>
      <c r="P114" s="2058"/>
      <c r="Q114" s="2328"/>
      <c r="R114" s="2328"/>
      <c r="S114" s="2058"/>
      <c r="T114" s="2058"/>
      <c r="U114" s="2058"/>
      <c r="V114" s="2058"/>
      <c r="W114" s="2328"/>
      <c r="X114" s="2058"/>
      <c r="Y114" s="2058"/>
      <c r="Z114" s="1236"/>
      <c r="AA114" s="2058"/>
      <c r="AB114" s="2058"/>
      <c r="AC114" s="2058"/>
      <c r="AD114" s="2058"/>
      <c r="AE114" s="2058"/>
      <c r="AF114" s="2324"/>
      <c r="AG114" s="1314"/>
      <c r="AH114" s="1314"/>
      <c r="AI114" s="1314"/>
      <c r="AJ114" s="1314"/>
      <c r="AK114" s="2333">
        <v>11</v>
      </c>
    </row>
    <row s="61193" customFormat="1" customHeight="1" ht="11.549999999999999">
      <c r="A115" s="1679"/>
      <c r="B115" s="1679"/>
      <c r="C115" s="1679"/>
      <c r="D115" s="1679"/>
      <c r="E115" s="1679"/>
      <c r="F115" s="2328"/>
      <c r="G115" s="2328"/>
      <c r="H115" s="1043"/>
      <c r="N115" s="2058"/>
      <c r="P115" s="2058"/>
      <c r="Q115" s="2328"/>
      <c r="R115" s="2328"/>
      <c r="S115" s="2058"/>
      <c r="T115" s="2058"/>
      <c r="U115" s="2058"/>
      <c r="V115" s="2058"/>
      <c r="W115" s="2328"/>
      <c r="X115" s="2058"/>
      <c r="Y115" s="2058"/>
      <c r="Z115" s="1236"/>
      <c r="AA115" s="2058"/>
      <c r="AB115" s="2058"/>
      <c r="AC115" s="2058"/>
      <c r="AD115" s="2058"/>
      <c r="AE115" s="2058"/>
      <c r="AF115" s="2324"/>
      <c r="AG115" s="1314"/>
      <c r="AH115" s="1314"/>
      <c r="AI115" s="1314"/>
      <c r="AJ115" s="1314"/>
      <c r="AK115" s="2333">
        <v>11</v>
      </c>
    </row>
    <row s="61193" customFormat="1" customHeight="1" ht="11.549999999999999">
      <c r="A116" s="1679"/>
      <c r="B116" s="1679"/>
      <c r="C116" s="1679"/>
      <c r="D116" s="1679"/>
      <c r="E116" s="1679"/>
      <c r="F116" s="2328"/>
      <c r="G116" s="2328"/>
      <c r="H116" s="1043"/>
      <c r="N116" s="2058"/>
      <c r="P116" s="2058"/>
      <c r="Q116" s="2328"/>
      <c r="R116" s="2328"/>
      <c r="S116" s="2058"/>
      <c r="T116" s="2058"/>
      <c r="U116" s="2058"/>
      <c r="V116" s="2058"/>
      <c r="W116" s="2328"/>
      <c r="X116" s="2058"/>
      <c r="Y116" s="2058"/>
      <c r="Z116" s="1236"/>
      <c r="AA116" s="2058"/>
      <c r="AB116" s="2058"/>
      <c r="AC116" s="2058"/>
      <c r="AD116" s="2058"/>
      <c r="AE116" s="2058"/>
      <c r="AF116" s="2324"/>
      <c r="AG116" s="1314"/>
      <c r="AH116" s="1314"/>
      <c r="AI116" s="1314"/>
      <c r="AJ116" s="1314"/>
      <c r="AK116" s="2333">
        <v>11</v>
      </c>
    </row>
    <row s="61193" customFormat="1" customHeight="1" ht="11.549999999999999">
      <c r="A117" s="1679"/>
      <c r="B117" s="1679"/>
      <c r="C117" s="1679"/>
      <c r="D117" s="1679"/>
      <c r="E117" s="1679"/>
      <c r="F117" s="2328"/>
      <c r="G117" s="2328"/>
      <c r="H117" s="1043"/>
      <c r="N117" s="2058"/>
      <c r="P117" s="2058"/>
      <c r="Q117" s="2328"/>
      <c r="R117" s="2328"/>
      <c r="S117" s="2058"/>
      <c r="T117" s="2058"/>
      <c r="U117" s="2058"/>
      <c r="V117" s="2058"/>
      <c r="W117" s="2328"/>
      <c r="X117" s="2058"/>
      <c r="Y117" s="2058"/>
      <c r="Z117" s="1236"/>
      <c r="AA117" s="2058"/>
      <c r="AB117" s="2058"/>
      <c r="AC117" s="2058"/>
      <c r="AD117" s="2058"/>
      <c r="AE117" s="2058"/>
      <c r="AF117" s="2324"/>
      <c r="AG117" s="1314"/>
      <c r="AH117" s="1314"/>
      <c r="AI117" s="1314"/>
      <c r="AJ117" s="1314"/>
      <c r="AK117" s="2333">
        <v>11</v>
      </c>
    </row>
    <row s="61193" customFormat="1" customHeight="1" ht="11.549999999999999">
      <c r="A118" s="1679"/>
      <c r="B118" s="1679"/>
      <c r="C118" s="1679"/>
      <c r="D118" s="1679"/>
      <c r="E118" s="1679"/>
      <c r="F118" s="2328"/>
      <c r="G118" s="2328"/>
      <c r="H118" s="1043"/>
      <c r="N118" s="2058"/>
      <c r="P118" s="2058"/>
      <c r="Q118" s="2328"/>
      <c r="R118" s="2328"/>
      <c r="S118" s="2058"/>
      <c r="T118" s="2058"/>
      <c r="U118" s="2058"/>
      <c r="V118" s="2058"/>
      <c r="W118" s="2328"/>
      <c r="X118" s="2058"/>
      <c r="Y118" s="2058"/>
      <c r="Z118" s="1236"/>
      <c r="AA118" s="2058"/>
      <c r="AB118" s="2058"/>
      <c r="AC118" s="2058"/>
      <c r="AD118" s="2058"/>
      <c r="AE118" s="2058"/>
      <c r="AF118" s="2324"/>
      <c r="AG118" s="1314"/>
      <c r="AH118" s="1314"/>
      <c r="AI118" s="1314"/>
      <c r="AJ118" s="1314"/>
      <c r="AK118" s="2333">
        <v>11</v>
      </c>
    </row>
    <row s="61193" customFormat="1" customHeight="1" ht="11.549999999999999">
      <c r="A119" s="1679"/>
      <c r="B119" s="1679"/>
      <c r="C119" s="1679"/>
      <c r="D119" s="1679"/>
      <c r="E119" s="1679"/>
      <c r="F119" s="2328"/>
      <c r="G119" s="2328"/>
      <c r="H119" s="1043"/>
      <c r="N119" s="2058"/>
      <c r="P119" s="2058"/>
      <c r="Q119" s="2328"/>
      <c r="R119" s="2328"/>
      <c r="S119" s="2058"/>
      <c r="T119" s="2058"/>
      <c r="U119" s="2058"/>
      <c r="V119" s="2058"/>
      <c r="W119" s="2328"/>
      <c r="X119" s="2058"/>
      <c r="Y119" s="2058"/>
      <c r="Z119" s="1236"/>
      <c r="AA119" s="2058"/>
      <c r="AB119" s="2058"/>
      <c r="AC119" s="2058"/>
      <c r="AD119" s="2058"/>
      <c r="AE119" s="2058"/>
      <c r="AF119" s="2324"/>
      <c r="AG119" s="1314"/>
      <c r="AH119" s="1314"/>
      <c r="AI119" s="1314"/>
      <c r="AJ119" s="1314"/>
      <c r="AK119" s="2333">
        <v>11</v>
      </c>
    </row>
    <row s="61193" customFormat="1" customHeight="1" ht="11.549999999999999">
      <c r="A120" s="1679"/>
      <c r="B120" s="1679"/>
      <c r="C120" s="1679"/>
      <c r="D120" s="1679"/>
      <c r="E120" s="1679"/>
      <c r="F120" s="2328"/>
      <c r="G120" s="2328"/>
      <c r="H120" s="1043"/>
      <c r="N120" s="2058"/>
      <c r="P120" s="2058"/>
      <c r="Q120" s="2328"/>
      <c r="R120" s="2328"/>
      <c r="S120" s="2058"/>
      <c r="T120" s="2058"/>
      <c r="U120" s="2058"/>
      <c r="V120" s="2058"/>
      <c r="W120" s="2328"/>
      <c r="X120" s="2058"/>
      <c r="Y120" s="2058"/>
      <c r="Z120" s="1236"/>
      <c r="AA120" s="2058"/>
      <c r="AB120" s="2058"/>
      <c r="AC120" s="2058"/>
      <c r="AD120" s="2058"/>
      <c r="AE120" s="2058"/>
      <c r="AF120" s="2324"/>
      <c r="AG120" s="1314"/>
      <c r="AH120" s="1314"/>
      <c r="AI120" s="1314"/>
      <c r="AJ120" s="1314"/>
      <c r="AK120" s="2333">
        <v>11</v>
      </c>
    </row>
    <row s="61193" customFormat="1" customHeight="1" ht="11.549999999999999">
      <c r="A121" s="1679"/>
      <c r="B121" s="1679"/>
      <c r="C121" s="1679"/>
      <c r="D121" s="1679"/>
      <c r="E121" s="1679"/>
      <c r="F121" s="2328"/>
      <c r="G121" s="2328"/>
      <c r="H121" s="1043"/>
      <c r="N121" s="2058"/>
      <c r="P121" s="2058"/>
      <c r="Q121" s="2328"/>
      <c r="R121" s="2328"/>
      <c r="S121" s="2058"/>
      <c r="T121" s="2058"/>
      <c r="U121" s="2058"/>
      <c r="V121" s="2058"/>
      <c r="W121" s="2328"/>
      <c r="X121" s="2058"/>
      <c r="Y121" s="2058"/>
      <c r="Z121" s="1236"/>
      <c r="AA121" s="2058"/>
      <c r="AB121" s="2058"/>
      <c r="AC121" s="2058"/>
      <c r="AD121" s="2058"/>
      <c r="AE121" s="2058"/>
      <c r="AF121" s="2324"/>
      <c r="AG121" s="1314"/>
      <c r="AH121" s="1314"/>
      <c r="AI121" s="1314"/>
      <c r="AJ121" s="1314"/>
      <c r="AK121" s="2333">
        <v>11</v>
      </c>
    </row>
    <row s="61193" customFormat="1" customHeight="1" ht="11.549999999999999">
      <c r="A122" s="1679"/>
      <c r="B122" s="1679"/>
      <c r="C122" s="1679"/>
      <c r="D122" s="1679"/>
      <c r="E122" s="1679"/>
      <c r="F122" s="2328"/>
      <c r="G122" s="2328"/>
      <c r="H122" s="1043"/>
      <c r="N122" s="2058"/>
      <c r="P122" s="2058"/>
      <c r="Q122" s="2328"/>
      <c r="R122" s="2328"/>
      <c r="S122" s="2058"/>
      <c r="T122" s="2058"/>
      <c r="U122" s="2058"/>
      <c r="V122" s="2058"/>
      <c r="W122" s="2328"/>
      <c r="X122" s="2058"/>
      <c r="Y122" s="2058"/>
      <c r="Z122" s="1236"/>
      <c r="AA122" s="2058"/>
      <c r="AB122" s="2058"/>
      <c r="AC122" s="2058"/>
      <c r="AD122" s="2058"/>
      <c r="AE122" s="2058"/>
      <c r="AF122" s="2324"/>
      <c r="AG122" s="1314"/>
      <c r="AH122" s="1314"/>
      <c r="AI122" s="1314"/>
      <c r="AJ122" s="1314"/>
      <c r="AK122" s="2333">
        <v>11</v>
      </c>
    </row>
    <row s="61193" customFormat="1" customHeight="1" ht="11.549999999999999">
      <c r="A123" s="1679"/>
      <c r="B123" s="1679"/>
      <c r="C123" s="1679"/>
      <c r="D123" s="1679"/>
      <c r="E123" s="1679"/>
      <c r="F123" s="2328"/>
      <c r="G123" s="2328"/>
      <c r="H123" s="1043"/>
      <c r="N123" s="2058"/>
      <c r="P123" s="2058"/>
      <c r="Q123" s="2328"/>
      <c r="R123" s="2328"/>
      <c r="S123" s="2058"/>
      <c r="T123" s="2058"/>
      <c r="U123" s="2058"/>
      <c r="V123" s="2058"/>
      <c r="W123" s="2328"/>
      <c r="X123" s="2058"/>
      <c r="Y123" s="2058"/>
      <c r="Z123" s="1236"/>
      <c r="AA123" s="2058"/>
      <c r="AB123" s="2058"/>
      <c r="AC123" s="2058"/>
      <c r="AD123" s="2058"/>
      <c r="AE123" s="2058"/>
      <c r="AF123" s="2324"/>
      <c r="AG123" s="1314"/>
      <c r="AH123" s="1314"/>
      <c r="AI123" s="1314"/>
      <c r="AJ123" s="1314"/>
      <c r="AK123" s="2333">
        <v>11</v>
      </c>
    </row>
    <row s="61193" customFormat="1" customHeight="1" ht="11.549999999999999">
      <c r="A124" s="1679"/>
      <c r="B124" s="1679"/>
      <c r="C124" s="1679"/>
      <c r="D124" s="1679"/>
      <c r="E124" s="1679"/>
      <c r="F124" s="2328"/>
      <c r="G124" s="2328"/>
      <c r="H124" s="1043"/>
      <c r="N124" s="2058"/>
      <c r="P124" s="2058"/>
      <c r="Q124" s="2328"/>
      <c r="R124" s="2328"/>
      <c r="S124" s="2058"/>
      <c r="T124" s="2058"/>
      <c r="U124" s="2058"/>
      <c r="V124" s="2058"/>
      <c r="W124" s="2328"/>
      <c r="X124" s="2058"/>
      <c r="Y124" s="2058"/>
      <c r="Z124" s="1236"/>
      <c r="AA124" s="2058"/>
      <c r="AB124" s="2058"/>
      <c r="AC124" s="2058"/>
      <c r="AD124" s="2058"/>
      <c r="AE124" s="2058"/>
      <c r="AF124" s="2324"/>
      <c r="AG124" s="1314"/>
      <c r="AH124" s="1314"/>
      <c r="AI124" s="1314"/>
      <c r="AJ124" s="1314"/>
      <c r="AK124" s="2333">
        <v>11</v>
      </c>
    </row>
    <row s="61193" customFormat="1" customHeight="1" ht="11.549999999999999">
      <c r="A125" s="1679"/>
      <c r="B125" s="1679"/>
      <c r="C125" s="1679"/>
      <c r="D125" s="1679"/>
      <c r="E125" s="1679"/>
      <c r="F125" s="2328"/>
      <c r="G125" s="2328"/>
      <c r="H125" s="1043"/>
      <c r="N125" s="2058"/>
      <c r="P125" s="2058"/>
      <c r="Q125" s="2328"/>
      <c r="R125" s="2328"/>
      <c r="S125" s="2058"/>
      <c r="T125" s="2058"/>
      <c r="U125" s="2058"/>
      <c r="V125" s="2058"/>
      <c r="W125" s="2328"/>
      <c r="X125" s="2058"/>
      <c r="Y125" s="2058"/>
      <c r="Z125" s="1236"/>
      <c r="AA125" s="2058"/>
      <c r="AB125" s="2058"/>
      <c r="AC125" s="2058"/>
      <c r="AD125" s="2058"/>
      <c r="AE125" s="2058"/>
      <c r="AF125" s="2324"/>
      <c r="AG125" s="1314"/>
      <c r="AH125" s="1314"/>
      <c r="AI125" s="1314"/>
      <c r="AJ125" s="1314"/>
      <c r="AK125" s="2333">
        <v>11</v>
      </c>
    </row>
    <row s="61193" customFormat="1" customHeight="1" ht="11.549999999999999">
      <c r="A126" s="1679"/>
      <c r="B126" s="1679"/>
      <c r="C126" s="1679"/>
      <c r="D126" s="1679"/>
      <c r="E126" s="1679"/>
      <c r="F126" s="2328"/>
      <c r="G126" s="2328"/>
      <c r="H126" s="1043"/>
      <c r="N126" s="2058"/>
      <c r="P126" s="2058"/>
      <c r="Q126" s="2328"/>
      <c r="R126" s="2328"/>
      <c r="S126" s="2058"/>
      <c r="T126" s="2058"/>
      <c r="U126" s="2058"/>
      <c r="V126" s="2058"/>
      <c r="W126" s="2328"/>
      <c r="X126" s="2058"/>
      <c r="Y126" s="2058"/>
      <c r="Z126" s="1236"/>
      <c r="AA126" s="2058"/>
      <c r="AB126" s="2058"/>
      <c r="AC126" s="2058"/>
      <c r="AD126" s="2058"/>
      <c r="AE126" s="2058"/>
      <c r="AF126" s="2324"/>
      <c r="AG126" s="1314"/>
      <c r="AH126" s="1314"/>
      <c r="AI126" s="1314"/>
      <c r="AJ126" s="1314"/>
      <c r="AK126" s="2333">
        <v>11</v>
      </c>
    </row>
    <row s="61193" customFormat="1" customHeight="1" ht="11.549999999999999">
      <c r="A127" s="1679"/>
      <c r="B127" s="1679"/>
      <c r="C127" s="1679"/>
      <c r="D127" s="1679"/>
      <c r="E127" s="1679"/>
      <c r="F127" s="2328"/>
      <c r="G127" s="2328"/>
      <c r="H127" s="1043"/>
      <c r="N127" s="2058"/>
      <c r="P127" s="2058"/>
      <c r="Q127" s="2328"/>
      <c r="R127" s="2328"/>
      <c r="S127" s="2058"/>
      <c r="T127" s="2058"/>
      <c r="U127" s="2058"/>
      <c r="V127" s="2058"/>
      <c r="W127" s="2328"/>
      <c r="X127" s="2058"/>
      <c r="Y127" s="2058"/>
      <c r="Z127" s="1236"/>
      <c r="AA127" s="2058"/>
      <c r="AB127" s="2058"/>
      <c r="AC127" s="2058"/>
      <c r="AD127" s="2058"/>
      <c r="AE127" s="2058"/>
      <c r="AF127" s="2324"/>
      <c r="AG127" s="1314"/>
      <c r="AH127" s="1314"/>
      <c r="AI127" s="1314"/>
      <c r="AJ127" s="1314"/>
      <c r="AK127" s="2333">
        <v>11</v>
      </c>
    </row>
    <row s="61193" customFormat="1" customHeight="1" ht="11.549999999999999">
      <c r="A128" s="1679"/>
      <c r="B128" s="1679"/>
      <c r="C128" s="1679"/>
      <c r="D128" s="1679"/>
      <c r="E128" s="1679"/>
      <c r="F128" s="2328"/>
      <c r="G128" s="2328"/>
      <c r="H128" s="1043"/>
      <c r="N128" s="2058"/>
      <c r="P128" s="2058"/>
      <c r="Q128" s="2328"/>
      <c r="R128" s="2328"/>
      <c r="S128" s="2058"/>
      <c r="T128" s="2058"/>
      <c r="U128" s="2058"/>
      <c r="V128" s="2058"/>
      <c r="W128" s="2328"/>
      <c r="X128" s="2058"/>
      <c r="Y128" s="2058"/>
      <c r="Z128" s="1236"/>
      <c r="AA128" s="2058"/>
      <c r="AB128" s="2058"/>
      <c r="AC128" s="2058"/>
      <c r="AD128" s="2058"/>
      <c r="AE128" s="2058"/>
      <c r="AF128" s="2324"/>
      <c r="AG128" s="1314"/>
      <c r="AH128" s="1314"/>
      <c r="AI128" s="1314"/>
      <c r="AJ128" s="1314"/>
      <c r="AK128" s="2333">
        <v>11</v>
      </c>
    </row>
    <row s="61193" customFormat="1" customHeight="1" ht="11.549999999999999">
      <c r="A129" s="1679"/>
      <c r="B129" s="1679"/>
      <c r="C129" s="1679"/>
      <c r="D129" s="1679"/>
      <c r="E129" s="1679"/>
      <c r="F129" s="2328"/>
      <c r="G129" s="2328"/>
      <c r="H129" s="1043"/>
      <c r="N129" s="2058"/>
      <c r="P129" s="2058"/>
      <c r="Q129" s="2328"/>
      <c r="R129" s="2328"/>
      <c r="S129" s="2058"/>
      <c r="T129" s="2058"/>
      <c r="U129" s="2058"/>
      <c r="V129" s="2058"/>
      <c r="W129" s="2328"/>
      <c r="X129" s="2058"/>
      <c r="Y129" s="2058"/>
      <c r="Z129" s="1236"/>
      <c r="AA129" s="2058"/>
      <c r="AB129" s="2058"/>
      <c r="AC129" s="2058"/>
      <c r="AD129" s="2058"/>
      <c r="AE129" s="2058"/>
      <c r="AF129" s="2324"/>
      <c r="AG129" s="1314"/>
      <c r="AH129" s="1314"/>
      <c r="AI129" s="1314"/>
      <c r="AJ129" s="1314"/>
      <c r="AK129" s="2333">
        <v>11</v>
      </c>
    </row>
    <row s="61193" customFormat="1" customHeight="1" ht="11.549999999999999">
      <c r="A130" s="1679"/>
      <c r="B130" s="1679"/>
      <c r="C130" s="1679"/>
      <c r="D130" s="1679"/>
      <c r="E130" s="1679"/>
      <c r="F130" s="2328"/>
      <c r="G130" s="2328"/>
      <c r="H130" s="1043"/>
      <c r="N130" s="2058"/>
      <c r="P130" s="2058"/>
      <c r="Q130" s="2328"/>
      <c r="R130" s="2328"/>
      <c r="S130" s="2058"/>
      <c r="T130" s="2058"/>
      <c r="U130" s="2058"/>
      <c r="V130" s="2058"/>
      <c r="W130" s="2328"/>
      <c r="X130" s="2058"/>
      <c r="Y130" s="2058"/>
      <c r="Z130" s="1236"/>
      <c r="AA130" s="2058"/>
      <c r="AB130" s="2058"/>
      <c r="AC130" s="2058"/>
      <c r="AD130" s="2058"/>
      <c r="AE130" s="2058"/>
      <c r="AF130" s="2324"/>
      <c r="AG130" s="1314"/>
      <c r="AH130" s="1314"/>
      <c r="AI130" s="1314"/>
      <c r="AJ130" s="1314"/>
      <c r="AK130" s="2333">
        <v>11</v>
      </c>
    </row>
    <row s="61193" customFormat="1" customHeight="1" ht="11.549999999999999">
      <c r="A131" s="1679"/>
      <c r="B131" s="1679"/>
      <c r="C131" s="1679"/>
      <c r="D131" s="1679"/>
      <c r="E131" s="1679"/>
      <c r="F131" s="2328"/>
      <c r="G131" s="2328"/>
      <c r="H131" s="1043"/>
      <c r="N131" s="2058"/>
      <c r="P131" s="2058"/>
      <c r="Q131" s="2328"/>
      <c r="R131" s="2328"/>
      <c r="S131" s="2058"/>
      <c r="T131" s="2058"/>
      <c r="U131" s="2058"/>
      <c r="V131" s="2058"/>
      <c r="W131" s="2328"/>
      <c r="X131" s="2058"/>
      <c r="Y131" s="2058"/>
      <c r="Z131" s="1236"/>
      <c r="AA131" s="2058"/>
      <c r="AB131" s="2058"/>
      <c r="AC131" s="2058"/>
      <c r="AD131" s="2058"/>
      <c r="AE131" s="2058"/>
      <c r="AF131" s="2324"/>
      <c r="AG131" s="1314"/>
      <c r="AH131" s="1314"/>
      <c r="AI131" s="1314"/>
      <c r="AJ131" s="1314"/>
      <c r="AK131" s="2333">
        <v>11</v>
      </c>
    </row>
    <row s="61193" customFormat="1" customHeight="1" ht="11.549999999999999">
      <c r="A132" s="1679"/>
      <c r="B132" s="1679"/>
      <c r="C132" s="1679"/>
      <c r="D132" s="1679"/>
      <c r="E132" s="1679"/>
      <c r="F132" s="2328"/>
      <c r="G132" s="2328"/>
      <c r="H132" s="1043"/>
      <c r="N132" s="2058"/>
      <c r="P132" s="2058"/>
      <c r="Q132" s="2328"/>
      <c r="R132" s="2328"/>
      <c r="S132" s="2058"/>
      <c r="T132" s="2058"/>
      <c r="U132" s="2058"/>
      <c r="V132" s="2058"/>
      <c r="W132" s="2328"/>
      <c r="X132" s="2058"/>
      <c r="Y132" s="2058"/>
      <c r="Z132" s="1236"/>
      <c r="AA132" s="2058"/>
      <c r="AB132" s="2058"/>
      <c r="AC132" s="2058"/>
      <c r="AD132" s="2058"/>
      <c r="AE132" s="2058"/>
      <c r="AF132" s="2324"/>
      <c r="AG132" s="1314"/>
      <c r="AH132" s="1314"/>
      <c r="AI132" s="1314"/>
      <c r="AJ132" s="1314"/>
      <c r="AK132" s="2333">
        <v>11</v>
      </c>
    </row>
    <row s="61193" customFormat="1" customHeight="1" ht="11.549999999999999">
      <c r="A133" s="1679"/>
      <c r="B133" s="1679"/>
      <c r="C133" s="1679"/>
      <c r="D133" s="1679"/>
      <c r="E133" s="1679"/>
      <c r="F133" s="2328"/>
      <c r="G133" s="2328"/>
      <c r="H133" s="1043"/>
      <c r="N133" s="2058"/>
      <c r="P133" s="2058"/>
      <c r="Q133" s="2328"/>
      <c r="R133" s="2328"/>
      <c r="S133" s="2058"/>
      <c r="T133" s="2058"/>
      <c r="U133" s="2058"/>
      <c r="V133" s="2058"/>
      <c r="W133" s="2328"/>
      <c r="X133" s="2058"/>
      <c r="Y133" s="2058"/>
      <c r="Z133" s="1236"/>
      <c r="AA133" s="2058"/>
      <c r="AB133" s="2058"/>
      <c r="AC133" s="2058"/>
      <c r="AD133" s="2058"/>
      <c r="AE133" s="2058"/>
      <c r="AF133" s="2324"/>
      <c r="AG133" s="1314"/>
      <c r="AH133" s="1314"/>
      <c r="AI133" s="1314"/>
      <c r="AJ133" s="1314"/>
      <c r="AK133" s="2333">
        <v>11</v>
      </c>
    </row>
    <row s="61193" customFormat="1" customHeight="1" ht="11.549999999999999">
      <c r="A134" s="1679"/>
      <c r="B134" s="1679"/>
      <c r="C134" s="1679"/>
      <c r="D134" s="1679"/>
      <c r="E134" s="1679"/>
      <c r="F134" s="2328"/>
      <c r="G134" s="2328"/>
      <c r="H134" s="1043"/>
      <c r="N134" s="2058"/>
      <c r="P134" s="2058"/>
      <c r="Q134" s="2328"/>
      <c r="R134" s="2328"/>
      <c r="S134" s="2058"/>
      <c r="T134" s="2058"/>
      <c r="U134" s="2058"/>
      <c r="V134" s="2058"/>
      <c r="W134" s="2328"/>
      <c r="X134" s="2058"/>
      <c r="Y134" s="2058"/>
      <c r="Z134" s="1236"/>
      <c r="AA134" s="2058"/>
      <c r="AB134" s="2058"/>
      <c r="AC134" s="2058"/>
      <c r="AD134" s="2058"/>
      <c r="AE134" s="2058"/>
      <c r="AF134" s="2324"/>
      <c r="AG134" s="1314"/>
      <c r="AH134" s="1314"/>
      <c r="AI134" s="1314"/>
      <c r="AJ134" s="1314"/>
      <c r="AK134" s="2333">
        <v>11</v>
      </c>
    </row>
    <row s="61193" customFormat="1" customHeight="1" ht="11.549999999999999">
      <c r="A135" s="1679"/>
      <c r="B135" s="1679"/>
      <c r="C135" s="1679"/>
      <c r="D135" s="1679"/>
      <c r="E135" s="1679"/>
      <c r="F135" s="2328"/>
      <c r="G135" s="2328"/>
      <c r="H135" s="1043"/>
      <c r="N135" s="2058"/>
      <c r="P135" s="2058"/>
      <c r="Q135" s="2328"/>
      <c r="R135" s="2328"/>
      <c r="S135" s="2058"/>
      <c r="T135" s="2058"/>
      <c r="U135" s="2058"/>
      <c r="V135" s="2058"/>
      <c r="W135" s="2328"/>
      <c r="X135" s="2058"/>
      <c r="Y135" s="2058"/>
      <c r="Z135" s="1236"/>
      <c r="AA135" s="2058"/>
      <c r="AB135" s="2058"/>
      <c r="AC135" s="2058"/>
      <c r="AD135" s="2058"/>
      <c r="AE135" s="2058"/>
      <c r="AF135" s="2324"/>
      <c r="AG135" s="1314"/>
      <c r="AH135" s="1314"/>
      <c r="AI135" s="1314"/>
      <c r="AJ135" s="1314"/>
      <c r="AK135" s="2333">
        <v>11</v>
      </c>
    </row>
    <row s="61193" customFormat="1" customHeight="1" ht="11.549999999999999">
      <c r="A136" s="1679"/>
      <c r="B136" s="1679"/>
      <c r="C136" s="1679"/>
      <c r="D136" s="1679"/>
      <c r="E136" s="1679"/>
      <c r="F136" s="2328"/>
      <c r="G136" s="2328"/>
      <c r="H136" s="1043"/>
      <c r="N136" s="2058"/>
      <c r="P136" s="2058"/>
      <c r="Q136" s="2328"/>
      <c r="R136" s="2328"/>
      <c r="S136" s="2058"/>
      <c r="T136" s="2058"/>
      <c r="U136" s="2058"/>
      <c r="V136" s="2058"/>
      <c r="W136" s="2328"/>
      <c r="X136" s="2058"/>
      <c r="Y136" s="2058"/>
      <c r="Z136" s="1236"/>
      <c r="AA136" s="2058"/>
      <c r="AB136" s="2058"/>
      <c r="AC136" s="2058"/>
      <c r="AD136" s="2058"/>
      <c r="AE136" s="2058"/>
      <c r="AF136" s="2324"/>
      <c r="AG136" s="1314"/>
      <c r="AH136" s="1314"/>
      <c r="AI136" s="1314"/>
      <c r="AJ136" s="1314"/>
      <c r="AK136" s="2333">
        <v>11</v>
      </c>
    </row>
    <row s="61193" customFormat="1" customHeight="1" ht="11.549999999999999">
      <c r="A137" s="1679"/>
      <c r="B137" s="1679"/>
      <c r="C137" s="1679"/>
      <c r="D137" s="1679"/>
      <c r="E137" s="1679"/>
      <c r="F137" s="2328"/>
      <c r="G137" s="2328"/>
      <c r="H137" s="1043"/>
      <c r="N137" s="2058"/>
      <c r="P137" s="2058"/>
      <c r="Q137" s="2328"/>
      <c r="R137" s="2328"/>
      <c r="S137" s="2058"/>
      <c r="T137" s="2058"/>
      <c r="U137" s="2058"/>
      <c r="V137" s="2058"/>
      <c r="W137" s="2328"/>
      <c r="X137" s="2058"/>
      <c r="Y137" s="2058"/>
      <c r="Z137" s="1236"/>
      <c r="AA137" s="2058"/>
      <c r="AB137" s="2058"/>
      <c r="AC137" s="2058"/>
      <c r="AD137" s="2058"/>
      <c r="AE137" s="2058"/>
      <c r="AF137" s="2324"/>
      <c r="AG137" s="1314"/>
      <c r="AH137" s="1314"/>
      <c r="AI137" s="1314"/>
      <c r="AJ137" s="1314"/>
      <c r="AK137" s="2333">
        <v>11</v>
      </c>
    </row>
    <row s="61193" customFormat="1" customHeight="1" ht="11.549999999999999">
      <c r="A138" s="1679"/>
      <c r="B138" s="1679"/>
      <c r="C138" s="1679"/>
      <c r="D138" s="1679"/>
      <c r="E138" s="1679"/>
      <c r="F138" s="2328"/>
      <c r="G138" s="2328"/>
      <c r="H138" s="1043"/>
      <c r="N138" s="2058"/>
      <c r="P138" s="2058"/>
      <c r="Q138" s="2328"/>
      <c r="R138" s="2328"/>
      <c r="S138" s="2058"/>
      <c r="T138" s="2058"/>
      <c r="U138" s="2058"/>
      <c r="V138" s="2058"/>
      <c r="W138" s="2328"/>
      <c r="X138" s="2058"/>
      <c r="Y138" s="2058"/>
      <c r="Z138" s="1236"/>
      <c r="AA138" s="2058"/>
      <c r="AB138" s="2058"/>
      <c r="AC138" s="2058"/>
      <c r="AD138" s="2058"/>
      <c r="AE138" s="2058"/>
      <c r="AF138" s="2324"/>
      <c r="AG138" s="1314"/>
      <c r="AH138" s="1314"/>
      <c r="AI138" s="1314"/>
      <c r="AJ138" s="1314"/>
      <c r="AK138" s="2333">
        <v>11</v>
      </c>
    </row>
    <row s="61193" customFormat="1" customHeight="1" ht="11.549999999999999">
      <c r="A139" s="1679"/>
      <c r="B139" s="1679"/>
      <c r="C139" s="1679"/>
      <c r="D139" s="1679"/>
      <c r="E139" s="1679"/>
      <c r="F139" s="2328"/>
      <c r="G139" s="2328"/>
      <c r="H139" s="1043"/>
      <c r="N139" s="2058"/>
      <c r="P139" s="2058"/>
      <c r="Q139" s="2328"/>
      <c r="R139" s="2328"/>
      <c r="S139" s="2058"/>
      <c r="T139" s="2058"/>
      <c r="U139" s="2058"/>
      <c r="V139" s="2058"/>
      <c r="W139" s="2328"/>
      <c r="X139" s="2058"/>
      <c r="Y139" s="2058"/>
      <c r="Z139" s="1236"/>
      <c r="AA139" s="2058"/>
      <c r="AB139" s="2058"/>
      <c r="AC139" s="2058"/>
      <c r="AD139" s="2058"/>
      <c r="AE139" s="2058"/>
      <c r="AF139" s="2324"/>
      <c r="AG139" s="1314"/>
      <c r="AH139" s="1314"/>
      <c r="AI139" s="1314"/>
      <c r="AJ139" s="1314"/>
      <c r="AK139" s="2333">
        <v>11</v>
      </c>
    </row>
    <row s="61193" customFormat="1" customHeight="1" ht="11.549999999999999">
      <c r="A140" s="1679"/>
      <c r="B140" s="1679"/>
      <c r="C140" s="1679"/>
      <c r="D140" s="1679"/>
      <c r="E140" s="1679"/>
      <c r="F140" s="2328"/>
      <c r="G140" s="2328"/>
      <c r="H140" s="1043"/>
      <c r="N140" s="2058"/>
      <c r="P140" s="2058"/>
      <c r="Q140" s="2328"/>
      <c r="R140" s="2328"/>
      <c r="S140" s="2058"/>
      <c r="T140" s="2058"/>
      <c r="U140" s="2058"/>
      <c r="V140" s="2058"/>
      <c r="W140" s="2328"/>
      <c r="X140" s="2058"/>
      <c r="Y140" s="2058"/>
      <c r="Z140" s="1236"/>
      <c r="AA140" s="2058"/>
      <c r="AB140" s="2058"/>
      <c r="AC140" s="2058"/>
      <c r="AD140" s="2058"/>
      <c r="AE140" s="2058"/>
      <c r="AF140" s="2324"/>
      <c r="AG140" s="1314"/>
      <c r="AH140" s="1314"/>
      <c r="AI140" s="1314"/>
      <c r="AJ140" s="1314"/>
      <c r="AK140" s="2333">
        <v>11</v>
      </c>
    </row>
    <row s="61193" customFormat="1" customHeight="1" ht="11.549999999999999">
      <c r="A141" s="1679"/>
      <c r="B141" s="1679"/>
      <c r="C141" s="1679"/>
      <c r="D141" s="1679"/>
      <c r="E141" s="1679"/>
      <c r="F141" s="2328"/>
      <c r="G141" s="2328"/>
      <c r="H141" s="1043"/>
      <c r="N141" s="2058"/>
      <c r="P141" s="2058"/>
      <c r="Q141" s="2328"/>
      <c r="R141" s="2328"/>
      <c r="S141" s="2058"/>
      <c r="T141" s="2058"/>
      <c r="U141" s="2058"/>
      <c r="V141" s="2058"/>
      <c r="W141" s="2328"/>
      <c r="X141" s="2058"/>
      <c r="Y141" s="2058"/>
      <c r="Z141" s="1236"/>
      <c r="AA141" s="2058"/>
      <c r="AB141" s="2058"/>
      <c r="AC141" s="2058"/>
      <c r="AD141" s="2058"/>
      <c r="AE141" s="2058"/>
      <c r="AF141" s="2324"/>
      <c r="AG141" s="1314"/>
      <c r="AH141" s="1314"/>
      <c r="AI141" s="1314"/>
      <c r="AJ141" s="1314"/>
      <c r="AK141" s="2333">
        <v>11</v>
      </c>
    </row>
    <row s="61193" customFormat="1" customHeight="1" ht="11.549999999999999">
      <c r="A142" s="1679"/>
      <c r="B142" s="1679"/>
      <c r="C142" s="1679"/>
      <c r="D142" s="1679"/>
      <c r="E142" s="1679"/>
      <c r="F142" s="2328"/>
      <c r="G142" s="2328"/>
      <c r="H142" s="1043"/>
      <c r="N142" s="2058"/>
      <c r="P142" s="2058"/>
      <c r="Q142" s="2328"/>
      <c r="R142" s="2328"/>
      <c r="S142" s="2058"/>
      <c r="T142" s="2058"/>
      <c r="U142" s="2058"/>
      <c r="V142" s="2058"/>
      <c r="W142" s="2328"/>
      <c r="X142" s="2058"/>
      <c r="Y142" s="2058"/>
      <c r="Z142" s="1236"/>
      <c r="AA142" s="2058"/>
      <c r="AB142" s="2058"/>
      <c r="AC142" s="2058"/>
      <c r="AD142" s="2058"/>
      <c r="AE142" s="2058"/>
      <c r="AF142" s="2324"/>
      <c r="AG142" s="1314"/>
      <c r="AH142" s="1314"/>
      <c r="AI142" s="1314"/>
      <c r="AJ142" s="1314"/>
      <c r="AK142" s="2333">
        <v>11</v>
      </c>
    </row>
    <row s="61193" customFormat="1" customHeight="1" ht="11.549999999999999">
      <c r="A143" s="1679"/>
      <c r="B143" s="1679"/>
      <c r="C143" s="1679"/>
      <c r="D143" s="1679"/>
      <c r="E143" s="1679"/>
      <c r="F143" s="2328"/>
      <c r="G143" s="2328"/>
      <c r="H143" s="1043"/>
      <c r="N143" s="2058"/>
      <c r="P143" s="2058"/>
      <c r="Q143" s="2328"/>
      <c r="R143" s="2328"/>
      <c r="S143" s="2058"/>
      <c r="T143" s="2058"/>
      <c r="U143" s="2058"/>
      <c r="V143" s="2058"/>
      <c r="W143" s="2328"/>
      <c r="X143" s="2058"/>
      <c r="Y143" s="2058"/>
      <c r="Z143" s="1236"/>
      <c r="AA143" s="2058"/>
      <c r="AB143" s="2058"/>
      <c r="AC143" s="2058"/>
      <c r="AD143" s="2058"/>
      <c r="AE143" s="2058"/>
      <c r="AF143" s="2324"/>
      <c r="AG143" s="1314"/>
      <c r="AH143" s="1314"/>
      <c r="AI143" s="1314"/>
      <c r="AJ143" s="1314"/>
      <c r="AK143" s="2333">
        <v>11</v>
      </c>
    </row>
    <row s="61193" customFormat="1" customHeight="1" ht="11.549999999999999">
      <c r="A144" s="1679"/>
      <c r="B144" s="1679"/>
      <c r="C144" s="1679"/>
      <c r="D144" s="1679"/>
      <c r="E144" s="1679"/>
      <c r="F144" s="2328"/>
      <c r="G144" s="2328"/>
      <c r="H144" s="1043"/>
      <c r="N144" s="2058"/>
      <c r="P144" s="2058"/>
      <c r="Q144" s="2328"/>
      <c r="R144" s="2328"/>
      <c r="S144" s="2058"/>
      <c r="T144" s="2058"/>
      <c r="U144" s="2058"/>
      <c r="V144" s="2058"/>
      <c r="W144" s="2328"/>
      <c r="X144" s="2058"/>
      <c r="Y144" s="2058"/>
      <c r="Z144" s="1236"/>
      <c r="AA144" s="2058"/>
      <c r="AB144" s="2058"/>
      <c r="AC144" s="2058"/>
      <c r="AD144" s="2058"/>
      <c r="AE144" s="2058"/>
      <c r="AF144" s="2324"/>
      <c r="AG144" s="1314"/>
      <c r="AH144" s="1314"/>
      <c r="AI144" s="1314"/>
      <c r="AJ144" s="1314"/>
      <c r="AK144" s="2333">
        <v>11</v>
      </c>
    </row>
    <row s="61193" customFormat="1" customHeight="1" ht="11.549999999999999">
      <c r="A145" s="1679"/>
      <c r="B145" s="1679"/>
      <c r="C145" s="1679"/>
      <c r="D145" s="1679"/>
      <c r="E145" s="1679"/>
      <c r="F145" s="2328"/>
      <c r="G145" s="2328"/>
      <c r="H145" s="1043"/>
      <c r="N145" s="2058"/>
      <c r="P145" s="2058"/>
      <c r="Q145" s="2328"/>
      <c r="R145" s="2328"/>
      <c r="S145" s="2058"/>
      <c r="T145" s="2058"/>
      <c r="U145" s="2058"/>
      <c r="V145" s="2058"/>
      <c r="W145" s="2328"/>
      <c r="X145" s="2058"/>
      <c r="Y145" s="2058"/>
      <c r="Z145" s="1236"/>
      <c r="AA145" s="2058"/>
      <c r="AB145" s="2058"/>
      <c r="AC145" s="2058"/>
      <c r="AD145" s="2058"/>
      <c r="AE145" s="2058"/>
      <c r="AF145" s="2324"/>
      <c r="AG145" s="1314"/>
      <c r="AH145" s="1314"/>
      <c r="AI145" s="1314"/>
      <c r="AJ145" s="1314"/>
      <c r="AK145" s="2333">
        <v>11</v>
      </c>
    </row>
    <row s="61193" customFormat="1" customHeight="1" ht="11.549999999999999">
      <c r="A146" s="1679"/>
      <c r="B146" s="1679"/>
      <c r="C146" s="1679"/>
      <c r="D146" s="1679"/>
      <c r="E146" s="1679"/>
      <c r="F146" s="2328"/>
      <c r="G146" s="2328"/>
      <c r="H146" s="1043"/>
      <c r="N146" s="2058"/>
      <c r="P146" s="2058"/>
      <c r="Q146" s="2328"/>
      <c r="R146" s="2328"/>
      <c r="S146" s="2058"/>
      <c r="T146" s="2058"/>
      <c r="U146" s="2058"/>
      <c r="V146" s="2058"/>
      <c r="W146" s="2328"/>
      <c r="X146" s="2058"/>
      <c r="Y146" s="2058"/>
      <c r="Z146" s="1236"/>
      <c r="AA146" s="2058"/>
      <c r="AB146" s="2058"/>
      <c r="AC146" s="2058"/>
      <c r="AD146" s="2058"/>
      <c r="AE146" s="2058"/>
      <c r="AF146" s="2324"/>
      <c r="AG146" s="1314"/>
      <c r="AH146" s="1314"/>
      <c r="AI146" s="1314"/>
      <c r="AJ146" s="1314"/>
      <c r="AK146" s="2333">
        <v>11</v>
      </c>
    </row>
    <row s="61193" customFormat="1" customHeight="1" ht="11.549999999999999">
      <c r="A147" s="1679"/>
      <c r="B147" s="1679"/>
      <c r="C147" s="1679"/>
      <c r="D147" s="1679"/>
      <c r="E147" s="1679"/>
      <c r="F147" s="2328"/>
      <c r="G147" s="2328"/>
      <c r="H147" s="1043"/>
      <c r="N147" s="2058"/>
      <c r="P147" s="2058"/>
      <c r="Q147" s="2328"/>
      <c r="R147" s="2328"/>
      <c r="S147" s="2058"/>
      <c r="T147" s="2058"/>
      <c r="U147" s="2058"/>
      <c r="V147" s="2058"/>
      <c r="W147" s="2328"/>
      <c r="X147" s="2058"/>
      <c r="Y147" s="2058"/>
      <c r="Z147" s="1236"/>
      <c r="AA147" s="2058"/>
      <c r="AB147" s="2058"/>
      <c r="AC147" s="2058"/>
      <c r="AD147" s="2058"/>
      <c r="AE147" s="2058"/>
      <c r="AF147" s="2324"/>
      <c r="AG147" s="1314"/>
      <c r="AH147" s="1314"/>
      <c r="AI147" s="1314"/>
      <c r="AJ147" s="1314"/>
      <c r="AK147" s="2333">
        <v>11</v>
      </c>
    </row>
    <row s="61193" customFormat="1" customHeight="1" ht="11.549999999999999">
      <c r="A148" s="1679"/>
      <c r="B148" s="1679"/>
      <c r="C148" s="1679"/>
      <c r="D148" s="1679"/>
      <c r="E148" s="1679"/>
      <c r="F148" s="2328"/>
      <c r="G148" s="2328"/>
      <c r="H148" s="1043"/>
      <c r="N148" s="2058"/>
      <c r="P148" s="2058"/>
      <c r="Q148" s="2328"/>
      <c r="R148" s="2328"/>
      <c r="S148" s="2058"/>
      <c r="T148" s="2058"/>
      <c r="U148" s="2058"/>
      <c r="V148" s="2058"/>
      <c r="W148" s="2328"/>
      <c r="X148" s="2058"/>
      <c r="Y148" s="2058"/>
      <c r="Z148" s="1236"/>
      <c r="AA148" s="2058"/>
      <c r="AB148" s="2058"/>
      <c r="AC148" s="2058"/>
      <c r="AD148" s="2058"/>
      <c r="AE148" s="2058"/>
      <c r="AF148" s="2324"/>
      <c r="AG148" s="1314"/>
      <c r="AH148" s="1314"/>
      <c r="AI148" s="1314"/>
      <c r="AJ148" s="1314"/>
      <c r="AK148" s="2333">
        <v>11</v>
      </c>
    </row>
    <row s="61193" customFormat="1" customHeight="1" ht="11.549999999999999">
      <c r="A149" s="1679"/>
      <c r="B149" s="1679"/>
      <c r="C149" s="1679"/>
      <c r="D149" s="1679"/>
      <c r="E149" s="1679"/>
      <c r="F149" s="2328"/>
      <c r="G149" s="2328"/>
      <c r="H149" s="1043"/>
      <c r="N149" s="2058"/>
      <c r="P149" s="2058"/>
      <c r="Q149" s="2328"/>
      <c r="R149" s="2328"/>
      <c r="S149" s="2058"/>
      <c r="T149" s="2058"/>
      <c r="U149" s="2058"/>
      <c r="V149" s="2058"/>
      <c r="W149" s="2328"/>
      <c r="X149" s="2058"/>
      <c r="Y149" s="2058"/>
      <c r="Z149" s="1236"/>
      <c r="AA149" s="2058"/>
      <c r="AB149" s="2058"/>
      <c r="AC149" s="2058"/>
      <c r="AD149" s="2058"/>
      <c r="AE149" s="2058"/>
      <c r="AF149" s="2324"/>
      <c r="AG149" s="1314"/>
      <c r="AH149" s="1314"/>
      <c r="AI149" s="1314"/>
      <c r="AJ149" s="1314"/>
      <c r="AK149" s="2333">
        <v>11</v>
      </c>
    </row>
    <row s="61193" customFormat="1" customHeight="1" ht="11.549999999999999">
      <c r="A150" s="1679"/>
      <c r="B150" s="1679"/>
      <c r="C150" s="1679"/>
      <c r="D150" s="1679"/>
      <c r="E150" s="1679"/>
      <c r="F150" s="2328"/>
      <c r="G150" s="2328"/>
      <c r="H150" s="1043"/>
      <c r="N150" s="2058"/>
      <c r="P150" s="2058"/>
      <c r="Q150" s="2328"/>
      <c r="R150" s="2328"/>
      <c r="S150" s="2058"/>
      <c r="T150" s="2058"/>
      <c r="U150" s="2058"/>
      <c r="V150" s="2058"/>
      <c r="W150" s="2328"/>
      <c r="X150" s="2058"/>
      <c r="Y150" s="2058"/>
      <c r="Z150" s="1236"/>
      <c r="AA150" s="2058"/>
      <c r="AB150" s="2058"/>
      <c r="AC150" s="2058"/>
      <c r="AD150" s="2058"/>
      <c r="AE150" s="2058"/>
      <c r="AF150" s="2324"/>
      <c r="AG150" s="1314"/>
      <c r="AH150" s="1314"/>
      <c r="AI150" s="1314"/>
      <c r="AJ150" s="1314"/>
      <c r="AK150" s="2333">
        <v>11</v>
      </c>
    </row>
    <row s="61193" customFormat="1" customHeight="1" ht="11.549999999999999">
      <c r="A151" s="1679"/>
      <c r="B151" s="1679"/>
      <c r="C151" s="1679"/>
      <c r="D151" s="1679"/>
      <c r="E151" s="1679"/>
      <c r="F151" s="2328"/>
      <c r="G151" s="2328"/>
      <c r="H151" s="1043"/>
      <c r="N151" s="2058"/>
      <c r="P151" s="2058"/>
      <c r="Q151" s="2328"/>
      <c r="R151" s="2328"/>
      <c r="S151" s="2058"/>
      <c r="T151" s="2058"/>
      <c r="U151" s="2058"/>
      <c r="V151" s="2058"/>
      <c r="W151" s="2328"/>
      <c r="X151" s="2058"/>
      <c r="Y151" s="2058"/>
      <c r="Z151" s="1236"/>
      <c r="AA151" s="2058"/>
      <c r="AB151" s="2058"/>
      <c r="AC151" s="2058"/>
      <c r="AD151" s="2058"/>
      <c r="AE151" s="2058"/>
      <c r="AF151" s="2324"/>
      <c r="AG151" s="1314"/>
      <c r="AH151" s="1314"/>
      <c r="AI151" s="1314"/>
      <c r="AJ151" s="1314"/>
      <c r="AK151" s="2333">
        <v>11</v>
      </c>
    </row>
    <row s="61193" customFormat="1" customHeight="1" ht="11.549999999999999">
      <c r="A152" s="1679"/>
      <c r="B152" s="1679"/>
      <c r="C152" s="1679"/>
      <c r="D152" s="1679"/>
      <c r="E152" s="1679"/>
      <c r="F152" s="2328"/>
      <c r="G152" s="2328"/>
      <c r="H152" s="1043"/>
      <c r="N152" s="2058"/>
      <c r="P152" s="2058"/>
      <c r="Q152" s="2328"/>
      <c r="R152" s="2328"/>
      <c r="S152" s="2058"/>
      <c r="T152" s="2058"/>
      <c r="U152" s="2058"/>
      <c r="V152" s="2058"/>
      <c r="W152" s="2328"/>
      <c r="X152" s="2058"/>
      <c r="Y152" s="2058"/>
      <c r="Z152" s="1236"/>
      <c r="AA152" s="2058"/>
      <c r="AB152" s="2058"/>
      <c r="AC152" s="2058"/>
      <c r="AD152" s="2058"/>
      <c r="AE152" s="2058"/>
      <c r="AF152" s="2324"/>
      <c r="AG152" s="1314"/>
      <c r="AH152" s="1314"/>
      <c r="AI152" s="1314"/>
      <c r="AJ152" s="1314"/>
      <c r="AK152" s="2333">
        <v>11</v>
      </c>
    </row>
    <row s="61193" customFormat="1" customHeight="1" ht="11.549999999999999">
      <c r="A153" s="1679"/>
      <c r="B153" s="1679"/>
      <c r="C153" s="1679"/>
      <c r="D153" s="1679"/>
      <c r="E153" s="1679"/>
      <c r="F153" s="2328"/>
      <c r="G153" s="2328"/>
      <c r="H153" s="1043"/>
      <c r="N153" s="2058"/>
      <c r="P153" s="2058"/>
      <c r="Q153" s="2328"/>
      <c r="R153" s="2328"/>
      <c r="S153" s="2058"/>
      <c r="T153" s="2058"/>
      <c r="U153" s="2058"/>
      <c r="V153" s="2058"/>
      <c r="W153" s="2328"/>
      <c r="X153" s="2058"/>
      <c r="Y153" s="2058"/>
      <c r="Z153" s="1236"/>
      <c r="AA153" s="2058"/>
      <c r="AB153" s="2058"/>
      <c r="AC153" s="2058"/>
      <c r="AD153" s="2058"/>
      <c r="AE153" s="2058"/>
      <c r="AF153" s="2324"/>
      <c r="AG153" s="1314"/>
      <c r="AH153" s="1314"/>
      <c r="AI153" s="1314"/>
      <c r="AJ153" s="1314"/>
      <c r="AK153" s="2333">
        <v>11</v>
      </c>
    </row>
    <row s="61193" customFormat="1" customHeight="1" ht="11.549999999999999">
      <c r="A154" s="1679"/>
      <c r="B154" s="1679"/>
      <c r="C154" s="1679"/>
      <c r="D154" s="1679"/>
      <c r="E154" s="1679"/>
      <c r="F154" s="2328"/>
      <c r="G154" s="2328"/>
      <c r="H154" s="1043"/>
      <c r="N154" s="2058"/>
      <c r="P154" s="2058"/>
      <c r="Q154" s="2328"/>
      <c r="R154" s="2328"/>
      <c r="S154" s="2058"/>
      <c r="T154" s="2058"/>
      <c r="U154" s="2058"/>
      <c r="V154" s="2058"/>
      <c r="W154" s="2328"/>
      <c r="X154" s="2058"/>
      <c r="Y154" s="2058"/>
      <c r="Z154" s="1236"/>
      <c r="AA154" s="2058"/>
      <c r="AB154" s="2058"/>
      <c r="AC154" s="2058"/>
      <c r="AD154" s="2058"/>
      <c r="AE154" s="2058"/>
      <c r="AF154" s="2324"/>
      <c r="AG154" s="1314"/>
      <c r="AH154" s="1314"/>
      <c r="AI154" s="1314"/>
      <c r="AJ154" s="1314"/>
      <c r="AK154" s="2333">
        <v>11</v>
      </c>
    </row>
    <row s="61193" customFormat="1" customHeight="1" ht="11.549999999999999">
      <c r="A155" s="1679"/>
      <c r="B155" s="1679"/>
      <c r="C155" s="1679"/>
      <c r="D155" s="1679"/>
      <c r="E155" s="1679"/>
      <c r="F155" s="2328"/>
      <c r="G155" s="2328"/>
      <c r="H155" s="1043"/>
      <c r="N155" s="2058"/>
      <c r="P155" s="2058"/>
      <c r="Q155" s="2328"/>
      <c r="R155" s="2328"/>
      <c r="S155" s="2058"/>
      <c r="T155" s="2058"/>
      <c r="U155" s="2058"/>
      <c r="V155" s="2058"/>
      <c r="W155" s="2328"/>
      <c r="X155" s="2058"/>
      <c r="Y155" s="2058"/>
      <c r="Z155" s="1236"/>
      <c r="AA155" s="2058"/>
      <c r="AB155" s="2058"/>
      <c r="AC155" s="2058"/>
      <c r="AD155" s="2058"/>
      <c r="AE155" s="2058"/>
      <c r="AF155" s="2324"/>
      <c r="AG155" s="1314"/>
      <c r="AH155" s="1314"/>
      <c r="AI155" s="1314"/>
      <c r="AJ155" s="1314"/>
      <c r="AK155" s="2333">
        <v>11</v>
      </c>
    </row>
    <row s="61193" customFormat="1" customHeight="1" ht="11.549999999999999">
      <c r="A156" s="1679"/>
      <c r="B156" s="1679"/>
      <c r="C156" s="1679"/>
      <c r="D156" s="1679"/>
      <c r="E156" s="1679"/>
      <c r="F156" s="2328"/>
      <c r="G156" s="2328"/>
      <c r="H156" s="1043"/>
      <c r="N156" s="2058"/>
      <c r="P156" s="2058"/>
      <c r="Q156" s="2328"/>
      <c r="R156" s="2328"/>
      <c r="S156" s="2058"/>
      <c r="T156" s="2058"/>
      <c r="U156" s="2058"/>
      <c r="V156" s="2058"/>
      <c r="W156" s="2328"/>
      <c r="X156" s="2058"/>
      <c r="Y156" s="2058"/>
      <c r="Z156" s="1236"/>
      <c r="AA156" s="2058"/>
      <c r="AB156" s="2058"/>
      <c r="AC156" s="2058"/>
      <c r="AD156" s="2058"/>
      <c r="AE156" s="2058"/>
      <c r="AF156" s="2324"/>
      <c r="AG156" s="1314"/>
      <c r="AH156" s="1314"/>
      <c r="AI156" s="1314"/>
      <c r="AJ156" s="1314"/>
      <c r="AK156" s="2333">
        <v>11</v>
      </c>
    </row>
    <row s="61193" customFormat="1" customHeight="1" ht="11.549999999999999">
      <c r="A157" s="1679"/>
      <c r="B157" s="1679"/>
      <c r="C157" s="1679"/>
      <c r="D157" s="1679"/>
      <c r="E157" s="1679"/>
      <c r="F157" s="2328"/>
      <c r="G157" s="2328"/>
      <c r="H157" s="1043"/>
      <c r="N157" s="2058"/>
      <c r="P157" s="2058"/>
      <c r="Q157" s="2328"/>
      <c r="R157" s="2328"/>
      <c r="S157" s="2058"/>
      <c r="T157" s="2058"/>
      <c r="U157" s="2058"/>
      <c r="V157" s="2058"/>
      <c r="W157" s="2328"/>
      <c r="X157" s="2058"/>
      <c r="Y157" s="2058"/>
      <c r="Z157" s="1236"/>
      <c r="AA157" s="2058"/>
      <c r="AB157" s="2058"/>
      <c r="AC157" s="2058"/>
      <c r="AD157" s="2058"/>
      <c r="AE157" s="2058"/>
      <c r="AF157" s="2324"/>
      <c r="AG157" s="1314"/>
      <c r="AH157" s="1314"/>
      <c r="AI157" s="1314"/>
      <c r="AJ157" s="1314"/>
      <c r="AK157" s="2333">
        <v>11</v>
      </c>
    </row>
    <row s="61193" customFormat="1" customHeight="1" ht="11.549999999999999">
      <c r="A158" s="1679"/>
      <c r="B158" s="1679"/>
      <c r="C158" s="1679"/>
      <c r="D158" s="1679"/>
      <c r="E158" s="1679"/>
      <c r="F158" s="2328"/>
      <c r="G158" s="2328"/>
      <c r="H158" s="1043"/>
      <c r="N158" s="2058"/>
      <c r="P158" s="2058"/>
      <c r="Q158" s="2328"/>
      <c r="R158" s="2328"/>
      <c r="S158" s="2058"/>
      <c r="T158" s="2058"/>
      <c r="U158" s="2058"/>
      <c r="V158" s="2058"/>
      <c r="W158" s="2328"/>
      <c r="X158" s="2058"/>
      <c r="Y158" s="2058"/>
      <c r="Z158" s="1236"/>
      <c r="AA158" s="2058"/>
      <c r="AB158" s="2058"/>
      <c r="AC158" s="2058"/>
      <c r="AD158" s="2058"/>
      <c r="AE158" s="2058"/>
      <c r="AF158" s="2324"/>
      <c r="AG158" s="1314"/>
      <c r="AH158" s="1314"/>
      <c r="AI158" s="1314"/>
      <c r="AJ158" s="1314"/>
      <c r="AK158" s="2333">
        <v>11</v>
      </c>
    </row>
    <row s="61193" customFormat="1" customHeight="1" ht="11.549999999999999">
      <c r="A159" s="1679"/>
      <c r="B159" s="1679"/>
      <c r="C159" s="1679"/>
      <c r="D159" s="1679"/>
      <c r="E159" s="1679"/>
      <c r="F159" s="2328"/>
      <c r="G159" s="2328"/>
      <c r="H159" s="1043"/>
      <c r="N159" s="2058"/>
      <c r="P159" s="2058"/>
      <c r="Q159" s="2328"/>
      <c r="R159" s="2328"/>
      <c r="S159" s="2058"/>
      <c r="T159" s="2058"/>
      <c r="U159" s="2058"/>
      <c r="V159" s="2058"/>
      <c r="W159" s="2328"/>
      <c r="X159" s="2058"/>
      <c r="Y159" s="2058"/>
      <c r="Z159" s="1236"/>
      <c r="AA159" s="2058"/>
      <c r="AB159" s="2058"/>
      <c r="AC159" s="2058"/>
      <c r="AD159" s="2058"/>
      <c r="AE159" s="2058"/>
      <c r="AF159" s="2324"/>
      <c r="AG159" s="1314"/>
      <c r="AH159" s="1314"/>
      <c r="AI159" s="1314"/>
      <c r="AJ159" s="1314"/>
      <c r="AK159" s="2333">
        <v>11</v>
      </c>
    </row>
    <row s="61193" customFormat="1" customHeight="1" ht="11.549999999999999">
      <c r="A160" s="1679"/>
      <c r="B160" s="1679"/>
      <c r="C160" s="1679"/>
      <c r="D160" s="1679"/>
      <c r="E160" s="1679"/>
      <c r="F160" s="2328"/>
      <c r="G160" s="2328"/>
      <c r="H160" s="1043"/>
      <c r="N160" s="2058"/>
      <c r="P160" s="2058"/>
      <c r="Q160" s="2328"/>
      <c r="R160" s="2328"/>
      <c r="S160" s="2058"/>
      <c r="T160" s="2058"/>
      <c r="U160" s="2058"/>
      <c r="V160" s="2058"/>
      <c r="W160" s="2328"/>
      <c r="X160" s="2058"/>
      <c r="Y160" s="2058"/>
      <c r="Z160" s="1236"/>
      <c r="AA160" s="2058"/>
      <c r="AB160" s="2058"/>
      <c r="AC160" s="2058"/>
      <c r="AD160" s="2058"/>
      <c r="AE160" s="2058"/>
      <c r="AF160" s="2324"/>
      <c r="AG160" s="1314"/>
      <c r="AH160" s="1314"/>
      <c r="AI160" s="1314"/>
      <c r="AJ160" s="1314"/>
      <c r="AK160" s="2333">
        <v>11</v>
      </c>
    </row>
    <row s="61193" customFormat="1" customHeight="1" ht="11.549999999999999">
      <c r="A161" s="1679"/>
      <c r="B161" s="1679"/>
      <c r="C161" s="1679"/>
      <c r="D161" s="1679"/>
      <c r="E161" s="1679"/>
      <c r="F161" s="2328"/>
      <c r="G161" s="2328"/>
      <c r="H161" s="1043"/>
      <c r="N161" s="2058"/>
      <c r="P161" s="2058"/>
      <c r="Q161" s="2328"/>
      <c r="R161" s="2328"/>
      <c r="S161" s="2058"/>
      <c r="T161" s="2058"/>
      <c r="U161" s="2058"/>
      <c r="V161" s="2058"/>
      <c r="W161" s="2328"/>
      <c r="X161" s="2058"/>
      <c r="Y161" s="2058"/>
      <c r="Z161" s="1236"/>
      <c r="AA161" s="2058"/>
      <c r="AB161" s="2058"/>
      <c r="AC161" s="2058"/>
      <c r="AD161" s="2058"/>
      <c r="AE161" s="2058"/>
      <c r="AF161" s="2324"/>
      <c r="AG161" s="1314"/>
      <c r="AH161" s="1314"/>
      <c r="AI161" s="1314"/>
      <c r="AJ161" s="1314"/>
      <c r="AK161" s="2333">
        <v>11</v>
      </c>
    </row>
    <row s="61193" customFormat="1" customHeight="1" ht="11.549999999999999">
      <c r="A162" s="1679"/>
      <c r="B162" s="1679"/>
      <c r="C162" s="1679"/>
      <c r="D162" s="1679"/>
      <c r="E162" s="1679"/>
      <c r="F162" s="2328"/>
      <c r="G162" s="2328"/>
      <c r="H162" s="1043"/>
      <c r="N162" s="2058"/>
      <c r="P162" s="2058"/>
      <c r="Q162" s="2328"/>
      <c r="R162" s="2328"/>
      <c r="S162" s="2058"/>
      <c r="T162" s="2058"/>
      <c r="U162" s="2058"/>
      <c r="V162" s="2058"/>
      <c r="W162" s="2328"/>
      <c r="X162" s="2058"/>
      <c r="Y162" s="2058"/>
      <c r="Z162" s="1236"/>
      <c r="AA162" s="2058"/>
      <c r="AB162" s="2058"/>
      <c r="AC162" s="2058"/>
      <c r="AD162" s="2058"/>
      <c r="AE162" s="2058"/>
      <c r="AF162" s="2324"/>
      <c r="AG162" s="1314"/>
      <c r="AH162" s="1314"/>
      <c r="AI162" s="1314"/>
      <c r="AJ162" s="1314"/>
      <c r="AK162" s="2333">
        <v>11</v>
      </c>
    </row>
    <row s="61193" customFormat="1" customHeight="1" ht="11.549999999999999">
      <c r="A163" s="1679"/>
      <c r="B163" s="1679"/>
      <c r="C163" s="1679"/>
      <c r="D163" s="1679"/>
      <c r="E163" s="1679"/>
      <c r="F163" s="2328"/>
      <c r="G163" s="2328"/>
      <c r="H163" s="1043"/>
      <c r="N163" s="2058"/>
      <c r="P163" s="2058"/>
      <c r="Q163" s="2328"/>
      <c r="R163" s="2328"/>
      <c r="S163" s="2058"/>
      <c r="T163" s="2058"/>
      <c r="U163" s="2058"/>
      <c r="V163" s="2058"/>
      <c r="W163" s="2328"/>
      <c r="X163" s="2058"/>
      <c r="Y163" s="2058"/>
      <c r="Z163" s="1236"/>
      <c r="AA163" s="2058"/>
      <c r="AB163" s="2058"/>
      <c r="AC163" s="2058"/>
      <c r="AD163" s="2058"/>
      <c r="AE163" s="2058"/>
      <c r="AF163" s="2324"/>
      <c r="AG163" s="1314"/>
      <c r="AH163" s="1314"/>
      <c r="AI163" s="1314"/>
      <c r="AJ163" s="1314"/>
      <c r="AK163" s="2333">
        <v>11</v>
      </c>
    </row>
    <row s="61193" customFormat="1" customHeight="1" ht="11.549999999999999">
      <c r="A164" s="1679"/>
      <c r="B164" s="1679"/>
      <c r="C164" s="1679"/>
      <c r="D164" s="1679"/>
      <c r="E164" s="1679"/>
      <c r="F164" s="2328"/>
      <c r="G164" s="2328"/>
      <c r="H164" s="1043"/>
      <c r="N164" s="2058"/>
      <c r="P164" s="2058"/>
      <c r="Q164" s="2328"/>
      <c r="R164" s="2328"/>
      <c r="S164" s="2058"/>
      <c r="T164" s="2058"/>
      <c r="U164" s="2058"/>
      <c r="V164" s="2058"/>
      <c r="W164" s="2328"/>
      <c r="X164" s="2058"/>
      <c r="Y164" s="2058"/>
      <c r="Z164" s="1236"/>
      <c r="AA164" s="2058"/>
      <c r="AB164" s="2058"/>
      <c r="AC164" s="2058"/>
      <c r="AD164" s="2058"/>
      <c r="AE164" s="2058"/>
      <c r="AF164" s="2324"/>
      <c r="AG164" s="1314"/>
      <c r="AH164" s="1314"/>
      <c r="AI164" s="1314"/>
      <c r="AJ164" s="1314"/>
      <c r="AK164" s="2333">
        <v>11</v>
      </c>
    </row>
    <row s="61193" customFormat="1" customHeight="1" ht="11.549999999999999">
      <c r="A165" s="1679"/>
      <c r="B165" s="1679"/>
      <c r="C165" s="1679"/>
      <c r="D165" s="1679"/>
      <c r="E165" s="1679"/>
      <c r="F165" s="2328"/>
      <c r="G165" s="2328"/>
      <c r="H165" s="1043"/>
      <c r="N165" s="2058"/>
      <c r="P165" s="2058"/>
      <c r="Q165" s="2328"/>
      <c r="R165" s="2328"/>
      <c r="S165" s="2058"/>
      <c r="T165" s="2058"/>
      <c r="U165" s="2058"/>
      <c r="V165" s="2058"/>
      <c r="W165" s="2328"/>
      <c r="X165" s="2058"/>
      <c r="Y165" s="2058"/>
      <c r="Z165" s="1236"/>
      <c r="AA165" s="2058"/>
      <c r="AB165" s="2058"/>
      <c r="AC165" s="2058"/>
      <c r="AD165" s="2058"/>
      <c r="AE165" s="2058"/>
      <c r="AF165" s="2324"/>
      <c r="AG165" s="1314"/>
      <c r="AH165" s="1314"/>
      <c r="AI165" s="1314"/>
      <c r="AJ165" s="1314"/>
      <c r="AK165" s="2333">
        <v>11</v>
      </c>
    </row>
    <row s="61193" customFormat="1" customHeight="1" ht="11.549999999999999">
      <c r="A166" s="1679"/>
      <c r="B166" s="1679"/>
      <c r="C166" s="1679"/>
      <c r="D166" s="1679"/>
      <c r="E166" s="1679"/>
      <c r="F166" s="2328"/>
      <c r="G166" s="2328"/>
      <c r="H166" s="1043"/>
      <c r="N166" s="2058"/>
      <c r="P166" s="2058"/>
      <c r="Q166" s="2328"/>
      <c r="R166" s="2328"/>
      <c r="S166" s="2058"/>
      <c r="T166" s="2058"/>
      <c r="U166" s="2058"/>
      <c r="V166" s="2058"/>
      <c r="W166" s="2328"/>
      <c r="X166" s="2058"/>
      <c r="Y166" s="2058"/>
      <c r="Z166" s="1236"/>
      <c r="AA166" s="2058"/>
      <c r="AB166" s="2058"/>
      <c r="AC166" s="2058"/>
      <c r="AD166" s="2058"/>
      <c r="AE166" s="2058"/>
      <c r="AF166" s="2324"/>
      <c r="AG166" s="1314"/>
      <c r="AH166" s="1314"/>
      <c r="AI166" s="1314"/>
      <c r="AJ166" s="1314"/>
      <c r="AK166" s="2333">
        <v>11</v>
      </c>
    </row>
    <row s="61193" customFormat="1" customHeight="1" ht="11.549999999999999">
      <c r="A167" s="1679"/>
      <c r="B167" s="1679"/>
      <c r="C167" s="1679"/>
      <c r="D167" s="1679"/>
      <c r="E167" s="1679"/>
      <c r="F167" s="2328"/>
      <c r="G167" s="2328"/>
      <c r="H167" s="1043"/>
      <c r="N167" s="2058"/>
      <c r="P167" s="2058"/>
      <c r="Q167" s="2328"/>
      <c r="R167" s="2328"/>
      <c r="S167" s="2058"/>
      <c r="T167" s="2058"/>
      <c r="U167" s="2058"/>
      <c r="V167" s="2058"/>
      <c r="W167" s="2328"/>
      <c r="X167" s="2058"/>
      <c r="Y167" s="2058"/>
      <c r="Z167" s="1236"/>
      <c r="AA167" s="2058"/>
      <c r="AB167" s="2058"/>
      <c r="AC167" s="2058"/>
      <c r="AD167" s="2058"/>
      <c r="AE167" s="2058"/>
      <c r="AF167" s="2324"/>
      <c r="AG167" s="1314"/>
      <c r="AH167" s="1314"/>
      <c r="AI167" s="1314"/>
      <c r="AJ167" s="1314"/>
      <c r="AK167" s="2333">
        <v>11</v>
      </c>
    </row>
    <row s="61193" customFormat="1" customHeight="1" ht="11.549999999999999">
      <c r="A168" s="1679"/>
      <c r="B168" s="1679"/>
      <c r="C168" s="1679"/>
      <c r="D168" s="1679"/>
      <c r="E168" s="1679"/>
      <c r="F168" s="2328"/>
      <c r="G168" s="2328"/>
      <c r="H168" s="1043"/>
      <c r="N168" s="2058"/>
      <c r="P168" s="2058"/>
      <c r="Q168" s="2328"/>
      <c r="R168" s="2328"/>
      <c r="S168" s="2058"/>
      <c r="T168" s="2058"/>
      <c r="U168" s="2058"/>
      <c r="V168" s="2058"/>
      <c r="W168" s="2328"/>
      <c r="X168" s="2058"/>
      <c r="Y168" s="2058"/>
      <c r="Z168" s="1236"/>
      <c r="AA168" s="2058"/>
      <c r="AB168" s="2058"/>
      <c r="AC168" s="2058"/>
      <c r="AD168" s="2058"/>
      <c r="AE168" s="2058"/>
      <c r="AF168" s="2324"/>
      <c r="AG168" s="1314"/>
      <c r="AH168" s="1314"/>
      <c r="AI168" s="1314"/>
      <c r="AJ168" s="1314"/>
      <c r="AK168" s="2333">
        <v>11</v>
      </c>
    </row>
    <row s="61193" customFormat="1" customHeight="1" ht="11.549999999999999">
      <c r="A169" s="1679"/>
      <c r="B169" s="1679"/>
      <c r="C169" s="1679"/>
      <c r="D169" s="1679"/>
      <c r="E169" s="1679"/>
      <c r="F169" s="2328"/>
      <c r="G169" s="2328"/>
      <c r="H169" s="1043"/>
      <c r="N169" s="2058"/>
      <c r="P169" s="2058"/>
      <c r="Q169" s="2328"/>
      <c r="R169" s="2328"/>
      <c r="S169" s="2058"/>
      <c r="T169" s="2058"/>
      <c r="U169" s="2058"/>
      <c r="V169" s="2058"/>
      <c r="W169" s="2328"/>
      <c r="X169" s="2058"/>
      <c r="Y169" s="2058"/>
      <c r="Z169" s="1236"/>
      <c r="AA169" s="2058"/>
      <c r="AB169" s="2058"/>
      <c r="AC169" s="2058"/>
      <c r="AD169" s="2058"/>
      <c r="AE169" s="2058"/>
      <c r="AF169" s="2324"/>
      <c r="AG169" s="1314"/>
      <c r="AH169" s="1314"/>
      <c r="AI169" s="1314"/>
      <c r="AJ169" s="1314"/>
      <c r="AK169" s="2333">
        <v>11</v>
      </c>
    </row>
    <row s="61193" customFormat="1" customHeight="1" ht="11.549999999999999">
      <c r="A170" s="1679"/>
      <c r="B170" s="1679"/>
      <c r="C170" s="1679"/>
      <c r="D170" s="1679"/>
      <c r="E170" s="1679"/>
      <c r="F170" s="2328"/>
      <c r="G170" s="2328"/>
      <c r="H170" s="1043"/>
      <c r="N170" s="2058"/>
      <c r="P170" s="2058"/>
      <c r="Q170" s="2328"/>
      <c r="R170" s="2328"/>
      <c r="S170" s="2058"/>
      <c r="T170" s="2058"/>
      <c r="U170" s="2058"/>
      <c r="V170" s="2058"/>
      <c r="W170" s="2328"/>
      <c r="X170" s="2058"/>
      <c r="Y170" s="2058"/>
      <c r="Z170" s="1236"/>
      <c r="AA170" s="2058"/>
      <c r="AB170" s="2058"/>
      <c r="AC170" s="2058"/>
      <c r="AD170" s="2058"/>
      <c r="AE170" s="2058"/>
      <c r="AF170" s="2324"/>
      <c r="AG170" s="1314"/>
      <c r="AH170" s="1314"/>
      <c r="AI170" s="1314"/>
      <c r="AJ170" s="1314"/>
      <c r="AK170" s="2333">
        <v>11</v>
      </c>
    </row>
    <row s="61193" customFormat="1" customHeight="1" ht="11.549999999999999">
      <c r="A171" s="1679"/>
      <c r="B171" s="1679"/>
      <c r="C171" s="1679"/>
      <c r="D171" s="1679"/>
      <c r="E171" s="1679"/>
      <c r="F171" s="2328"/>
      <c r="G171" s="2328"/>
      <c r="H171" s="1043"/>
      <c r="N171" s="2058"/>
      <c r="P171" s="2058"/>
      <c r="Q171" s="2328"/>
      <c r="R171" s="2328"/>
      <c r="S171" s="2058"/>
      <c r="T171" s="2058"/>
      <c r="U171" s="2058"/>
      <c r="V171" s="2058"/>
      <c r="W171" s="2328"/>
      <c r="X171" s="2058"/>
      <c r="Y171" s="2058"/>
      <c r="Z171" s="1236"/>
      <c r="AA171" s="2058"/>
      <c r="AB171" s="2058"/>
      <c r="AC171" s="2058"/>
      <c r="AD171" s="2058"/>
      <c r="AE171" s="2058"/>
      <c r="AF171" s="2324"/>
      <c r="AG171" s="1314"/>
      <c r="AH171" s="1314"/>
      <c r="AI171" s="1314"/>
      <c r="AJ171" s="1314"/>
      <c r="AK171" s="2333">
        <v>11</v>
      </c>
    </row>
    <row s="61193" customFormat="1" customHeight="1" ht="11.549999999999999">
      <c r="A172" s="1679"/>
      <c r="B172" s="1679"/>
      <c r="C172" s="1679"/>
      <c r="D172" s="1679"/>
      <c r="E172" s="1679"/>
      <c r="F172" s="2328"/>
      <c r="G172" s="2328"/>
      <c r="H172" s="1043"/>
      <c r="N172" s="2058"/>
      <c r="P172" s="2058"/>
      <c r="Q172" s="2328"/>
      <c r="R172" s="2328"/>
      <c r="S172" s="2058"/>
      <c r="T172" s="2058"/>
      <c r="U172" s="2058"/>
      <c r="V172" s="2058"/>
      <c r="W172" s="2328"/>
      <c r="X172" s="2058"/>
      <c r="Y172" s="2058"/>
      <c r="Z172" s="1236"/>
      <c r="AA172" s="2058"/>
      <c r="AB172" s="2058"/>
      <c r="AC172" s="2058"/>
      <c r="AD172" s="2058"/>
      <c r="AE172" s="2058"/>
      <c r="AF172" s="2324"/>
      <c r="AG172" s="1314"/>
      <c r="AH172" s="1314"/>
      <c r="AI172" s="1314"/>
      <c r="AJ172" s="1314"/>
      <c r="AK172" s="2333">
        <v>11</v>
      </c>
    </row>
    <row s="61193" customFormat="1" customHeight="1" ht="11.549999999999999">
      <c r="A173" s="1679"/>
      <c r="B173" s="1679"/>
      <c r="C173" s="1679"/>
      <c r="D173" s="1679"/>
      <c r="E173" s="1679"/>
      <c r="F173" s="2328"/>
      <c r="G173" s="2328"/>
      <c r="H173" s="1043"/>
      <c r="N173" s="2058"/>
      <c r="P173" s="2058"/>
      <c r="Q173" s="2328"/>
      <c r="R173" s="2328"/>
      <c r="S173" s="2058"/>
      <c r="T173" s="2058"/>
      <c r="U173" s="2058"/>
      <c r="V173" s="2058"/>
      <c r="W173" s="2328"/>
      <c r="X173" s="2058"/>
      <c r="Y173" s="2058"/>
      <c r="Z173" s="1236"/>
      <c r="AA173" s="2058"/>
      <c r="AB173" s="2058"/>
      <c r="AC173" s="2058"/>
      <c r="AD173" s="2058"/>
      <c r="AE173" s="2058"/>
      <c r="AF173" s="2324"/>
      <c r="AG173" s="1314"/>
      <c r="AH173" s="1314"/>
      <c r="AI173" s="1314"/>
      <c r="AJ173" s="1314"/>
      <c r="AK173" s="2333">
        <v>11</v>
      </c>
    </row>
    <row s="61193" customFormat="1" customHeight="1" ht="11.549999999999999">
      <c r="A174" s="1679"/>
      <c r="B174" s="1679"/>
      <c r="C174" s="1679"/>
      <c r="D174" s="1679"/>
      <c r="E174" s="1679"/>
      <c r="F174" s="2328"/>
      <c r="G174" s="2328"/>
      <c r="H174" s="1043"/>
      <c r="N174" s="2058"/>
      <c r="P174" s="2058"/>
      <c r="Q174" s="2328"/>
      <c r="R174" s="2328"/>
      <c r="S174" s="2058"/>
      <c r="T174" s="2058"/>
      <c r="U174" s="2058"/>
      <c r="V174" s="2058"/>
      <c r="W174" s="2328"/>
      <c r="X174" s="2058"/>
      <c r="Y174" s="2058"/>
      <c r="Z174" s="1236"/>
      <c r="AA174" s="2058"/>
      <c r="AB174" s="2058"/>
      <c r="AC174" s="2058"/>
      <c r="AD174" s="2058"/>
      <c r="AE174" s="2058"/>
      <c r="AF174" s="2324"/>
      <c r="AG174" s="1314"/>
      <c r="AH174" s="1314"/>
      <c r="AI174" s="1314"/>
      <c r="AJ174" s="1314"/>
      <c r="AK174" s="2333">
        <v>11</v>
      </c>
    </row>
    <row s="61193" customFormat="1" customHeight="1" ht="11.549999999999999">
      <c r="A175" s="1679"/>
      <c r="B175" s="1679"/>
      <c r="C175" s="1679"/>
      <c r="D175" s="1679"/>
      <c r="E175" s="1679"/>
      <c r="F175" s="2328"/>
      <c r="G175" s="2328"/>
      <c r="H175" s="1043"/>
      <c r="N175" s="2058"/>
      <c r="P175" s="2058"/>
      <c r="Q175" s="2328"/>
      <c r="R175" s="2328"/>
      <c r="S175" s="2058"/>
      <c r="T175" s="2058"/>
      <c r="U175" s="2058"/>
      <c r="V175" s="2058"/>
      <c r="W175" s="2328"/>
      <c r="X175" s="2058"/>
      <c r="Y175" s="2058"/>
      <c r="Z175" s="1236"/>
      <c r="AA175" s="2058"/>
      <c r="AB175" s="2058"/>
      <c r="AC175" s="2058"/>
      <c r="AD175" s="2058"/>
      <c r="AE175" s="2058"/>
      <c r="AF175" s="2324"/>
      <c r="AG175" s="1314"/>
      <c r="AH175" s="1314"/>
      <c r="AI175" s="1314"/>
      <c r="AJ175" s="1314"/>
      <c r="AK175" s="2333">
        <v>11</v>
      </c>
    </row>
    <row s="61193" customFormat="1" customHeight="1" ht="11.549999999999999">
      <c r="A176" s="1679"/>
      <c r="B176" s="1679"/>
      <c r="C176" s="1679"/>
      <c r="D176" s="1679"/>
      <c r="E176" s="1679"/>
      <c r="F176" s="2328"/>
      <c r="G176" s="2328"/>
      <c r="H176" s="1043"/>
      <c r="N176" s="2058"/>
      <c r="P176" s="2058"/>
      <c r="Q176" s="2328"/>
      <c r="R176" s="2328"/>
      <c r="S176" s="2058"/>
      <c r="T176" s="2058"/>
      <c r="U176" s="2058"/>
      <c r="V176" s="2058"/>
      <c r="W176" s="2328"/>
      <c r="X176" s="2058"/>
      <c r="Y176" s="2058"/>
      <c r="Z176" s="1236"/>
      <c r="AA176" s="2058"/>
      <c r="AB176" s="2058"/>
      <c r="AC176" s="2058"/>
      <c r="AD176" s="2058"/>
      <c r="AE176" s="2058"/>
      <c r="AF176" s="2324"/>
      <c r="AG176" s="1314"/>
      <c r="AH176" s="1314"/>
      <c r="AI176" s="1314"/>
      <c r="AJ176" s="1314"/>
      <c r="AK176" s="2333">
        <v>11</v>
      </c>
    </row>
    <row s="61193" customFormat="1" customHeight="1" ht="11.549999999999999">
      <c r="A177" s="1679"/>
      <c r="B177" s="1679"/>
      <c r="C177" s="1679"/>
      <c r="D177" s="1679"/>
      <c r="E177" s="1679"/>
      <c r="F177" s="2328"/>
      <c r="G177" s="2328"/>
      <c r="H177" s="1043"/>
      <c r="N177" s="2058"/>
      <c r="P177" s="2058"/>
      <c r="Q177" s="2328"/>
      <c r="R177" s="2328"/>
      <c r="S177" s="2058"/>
      <c r="T177" s="2058"/>
      <c r="U177" s="2058"/>
      <c r="V177" s="2058"/>
      <c r="W177" s="2328"/>
      <c r="X177" s="2058"/>
      <c r="Y177" s="2058"/>
      <c r="Z177" s="1236"/>
      <c r="AA177" s="2058"/>
      <c r="AB177" s="2058"/>
      <c r="AC177" s="2058"/>
      <c r="AD177" s="2058"/>
      <c r="AE177" s="2058"/>
      <c r="AF177" s="2324"/>
      <c r="AG177" s="1314"/>
      <c r="AH177" s="1314"/>
      <c r="AI177" s="1314"/>
      <c r="AJ177" s="1314"/>
      <c r="AK177" s="2333">
        <v>11</v>
      </c>
    </row>
    <row s="61193" customFormat="1" customHeight="1" ht="11.549999999999999">
      <c r="A178" s="1679"/>
      <c r="B178" s="1679"/>
      <c r="C178" s="1679"/>
      <c r="D178" s="1679"/>
      <c r="E178" s="1679"/>
      <c r="F178" s="2328"/>
      <c r="G178" s="2328"/>
      <c r="H178" s="1043"/>
      <c r="N178" s="2058"/>
      <c r="P178" s="2058"/>
      <c r="Q178" s="2328"/>
      <c r="R178" s="2328"/>
      <c r="S178" s="2058"/>
      <c r="T178" s="2058"/>
      <c r="U178" s="2058"/>
      <c r="V178" s="2058"/>
      <c r="W178" s="2328"/>
      <c r="X178" s="2058"/>
      <c r="Y178" s="2058"/>
      <c r="Z178" s="1236"/>
      <c r="AA178" s="2058"/>
      <c r="AB178" s="2058"/>
      <c r="AC178" s="2058"/>
      <c r="AD178" s="2058"/>
      <c r="AE178" s="2058"/>
      <c r="AF178" s="2324"/>
      <c r="AG178" s="1314"/>
      <c r="AH178" s="1314"/>
      <c r="AI178" s="1314"/>
      <c r="AJ178" s="1314"/>
      <c r="AK178" s="2333">
        <v>11</v>
      </c>
    </row>
    <row s="61193" customFormat="1" customHeight="1" ht="11.549999999999999">
      <c r="A179" s="1679"/>
      <c r="B179" s="1679"/>
      <c r="C179" s="1679"/>
      <c r="D179" s="1679"/>
      <c r="E179" s="1679"/>
      <c r="F179" s="2328"/>
      <c r="G179" s="2328"/>
      <c r="H179" s="1043"/>
      <c r="N179" s="2058"/>
      <c r="P179" s="2058"/>
      <c r="Q179" s="2328"/>
      <c r="R179" s="2328"/>
      <c r="S179" s="2058"/>
      <c r="T179" s="2058"/>
      <c r="U179" s="2058"/>
      <c r="V179" s="2058"/>
      <c r="W179" s="2328"/>
      <c r="X179" s="2058"/>
      <c r="Y179" s="2058"/>
      <c r="Z179" s="1236"/>
      <c r="AA179" s="2058"/>
      <c r="AB179" s="2058"/>
      <c r="AC179" s="2058"/>
      <c r="AD179" s="2058"/>
      <c r="AE179" s="2058"/>
      <c r="AF179" s="2324"/>
      <c r="AG179" s="1314"/>
      <c r="AH179" s="1314"/>
      <c r="AI179" s="1314"/>
      <c r="AJ179" s="1314"/>
      <c r="AK179" s="2333">
        <v>11</v>
      </c>
    </row>
    <row s="61193" customFormat="1" customHeight="1" ht="11.549999999999999">
      <c r="A180" s="1679"/>
      <c r="B180" s="1679"/>
      <c r="C180" s="1679"/>
      <c r="D180" s="1679"/>
      <c r="E180" s="1679"/>
      <c r="F180" s="2328"/>
      <c r="G180" s="2328"/>
      <c r="H180" s="1043"/>
      <c r="N180" s="2058"/>
      <c r="P180" s="2058"/>
      <c r="Q180" s="2328"/>
      <c r="R180" s="2328"/>
      <c r="S180" s="2058"/>
      <c r="T180" s="2058"/>
      <c r="U180" s="2058"/>
      <c r="V180" s="2058"/>
      <c r="W180" s="2328"/>
      <c r="X180" s="2058"/>
      <c r="Y180" s="2058"/>
      <c r="Z180" s="1236"/>
      <c r="AA180" s="2058"/>
      <c r="AB180" s="2058"/>
      <c r="AC180" s="2058"/>
      <c r="AD180" s="2058"/>
      <c r="AE180" s="2058"/>
      <c r="AF180" s="2324"/>
      <c r="AG180" s="1314"/>
      <c r="AH180" s="1314"/>
      <c r="AI180" s="1314"/>
      <c r="AJ180" s="1314"/>
      <c r="AK180" s="2333">
        <v>11</v>
      </c>
    </row>
    <row s="61193" customFormat="1" customHeight="1" ht="11.549999999999999">
      <c r="A181" s="1679"/>
      <c r="B181" s="1679"/>
      <c r="C181" s="1679"/>
      <c r="D181" s="1679"/>
      <c r="E181" s="1679"/>
      <c r="F181" s="2328"/>
      <c r="G181" s="2328"/>
      <c r="H181" s="1043"/>
      <c r="N181" s="2058"/>
      <c r="P181" s="2058"/>
      <c r="Q181" s="2328"/>
      <c r="R181" s="2328"/>
      <c r="S181" s="2058"/>
      <c r="T181" s="2058"/>
      <c r="U181" s="2058"/>
      <c r="V181" s="2058"/>
      <c r="W181" s="2328"/>
      <c r="X181" s="2058"/>
      <c r="Y181" s="2058"/>
      <c r="Z181" s="1236"/>
      <c r="AA181" s="2058"/>
      <c r="AB181" s="2058"/>
      <c r="AC181" s="2058"/>
      <c r="AD181" s="2058"/>
      <c r="AE181" s="2058"/>
      <c r="AF181" s="2324"/>
      <c r="AG181" s="1314"/>
      <c r="AH181" s="1314"/>
      <c r="AI181" s="1314"/>
      <c r="AJ181" s="1314"/>
      <c r="AK181" s="2333">
        <v>11</v>
      </c>
    </row>
    <row s="61193" customFormat="1" customHeight="1" ht="11.549999999999999">
      <c r="A182" s="1679"/>
      <c r="B182" s="1679"/>
      <c r="C182" s="1679"/>
      <c r="D182" s="1679"/>
      <c r="E182" s="1679"/>
      <c r="F182" s="2328"/>
      <c r="G182" s="2328"/>
      <c r="H182" s="1043"/>
      <c r="N182" s="2058"/>
      <c r="P182" s="2058"/>
      <c r="Q182" s="2328"/>
      <c r="R182" s="2328"/>
      <c r="S182" s="2058"/>
      <c r="T182" s="2058"/>
      <c r="U182" s="2058"/>
      <c r="V182" s="2058"/>
      <c r="W182" s="2328"/>
      <c r="X182" s="2058"/>
      <c r="Y182" s="2058"/>
      <c r="Z182" s="1236"/>
      <c r="AA182" s="2058"/>
      <c r="AB182" s="2058"/>
      <c r="AC182" s="2058"/>
      <c r="AD182" s="2058"/>
      <c r="AE182" s="2058"/>
      <c r="AF182" s="2324"/>
      <c r="AG182" s="1314"/>
      <c r="AH182" s="1314"/>
      <c r="AI182" s="1314"/>
      <c r="AJ182" s="1314"/>
      <c r="AK182" s="2333">
        <v>11</v>
      </c>
    </row>
    <row s="61193" customFormat="1" customHeight="1" ht="11.549999999999999">
      <c r="A183" s="1679"/>
      <c r="B183" s="1679"/>
      <c r="C183" s="1679"/>
      <c r="D183" s="1679"/>
      <c r="E183" s="1679"/>
      <c r="F183" s="2328"/>
      <c r="G183" s="2328"/>
      <c r="H183" s="1043"/>
      <c r="N183" s="2058"/>
      <c r="P183" s="2058"/>
      <c r="Q183" s="2328"/>
      <c r="R183" s="2328"/>
      <c r="S183" s="2058"/>
      <c r="T183" s="2058"/>
      <c r="U183" s="2058"/>
      <c r="V183" s="2058"/>
      <c r="W183" s="2328"/>
      <c r="X183" s="2058"/>
      <c r="Y183" s="2058"/>
      <c r="Z183" s="1236"/>
      <c r="AA183" s="2058"/>
      <c r="AB183" s="2058"/>
      <c r="AC183" s="2058"/>
      <c r="AD183" s="2058"/>
      <c r="AE183" s="2058"/>
      <c r="AF183" s="2324"/>
      <c r="AG183" s="1314"/>
      <c r="AH183" s="1314"/>
      <c r="AI183" s="1314"/>
      <c r="AJ183" s="1314"/>
      <c r="AK183" s="2333">
        <v>11</v>
      </c>
    </row>
    <row s="61193" customFormat="1" customHeight="1" ht="11.549999999999999">
      <c r="A184" s="1679"/>
      <c r="B184" s="1679"/>
      <c r="C184" s="1679"/>
      <c r="D184" s="1679"/>
      <c r="E184" s="1679"/>
      <c r="F184" s="2328"/>
      <c r="G184" s="2328"/>
      <c r="H184" s="1043"/>
      <c r="N184" s="2058"/>
      <c r="P184" s="2058"/>
      <c r="Q184" s="2328"/>
      <c r="R184" s="2328"/>
      <c r="S184" s="2058"/>
      <c r="T184" s="2058"/>
      <c r="U184" s="2058"/>
      <c r="V184" s="2058"/>
      <c r="W184" s="2328"/>
      <c r="X184" s="2058"/>
      <c r="Y184" s="2058"/>
      <c r="Z184" s="1236"/>
      <c r="AA184" s="2058"/>
      <c r="AB184" s="2058"/>
      <c r="AC184" s="2058"/>
      <c r="AD184" s="2058"/>
      <c r="AE184" s="2058"/>
      <c r="AF184" s="2324"/>
      <c r="AG184" s="1314"/>
      <c r="AH184" s="1314"/>
      <c r="AI184" s="1314"/>
      <c r="AJ184" s="1314"/>
      <c r="AK184" s="2333">
        <v>11</v>
      </c>
    </row>
    <row s="61193" customFormat="1" customHeight="1" ht="11.549999999999999">
      <c r="A185" s="1679"/>
      <c r="B185" s="1679"/>
      <c r="C185" s="1679"/>
      <c r="D185" s="1679"/>
      <c r="E185" s="1679"/>
      <c r="F185" s="2328"/>
      <c r="G185" s="2328"/>
      <c r="H185" s="1043"/>
      <c r="N185" s="2058"/>
      <c r="P185" s="2058"/>
      <c r="Q185" s="2328"/>
      <c r="R185" s="2328"/>
      <c r="S185" s="2058"/>
      <c r="T185" s="2058"/>
      <c r="U185" s="2058"/>
      <c r="V185" s="2058"/>
      <c r="W185" s="2328"/>
      <c r="X185" s="2058"/>
      <c r="Y185" s="2058"/>
      <c r="Z185" s="1236"/>
      <c r="AA185" s="2058"/>
      <c r="AB185" s="2058"/>
      <c r="AC185" s="2058"/>
      <c r="AD185" s="2058"/>
      <c r="AE185" s="2058"/>
      <c r="AF185" s="2324"/>
      <c r="AG185" s="1314"/>
      <c r="AH185" s="1314"/>
      <c r="AI185" s="1314"/>
      <c r="AJ185" s="1314"/>
      <c r="AK185" s="2333">
        <v>11</v>
      </c>
    </row>
    <row s="61193" customFormat="1" customHeight="1" ht="11.549999999999999">
      <c r="A186" s="1679"/>
      <c r="B186" s="1679"/>
      <c r="C186" s="1679"/>
      <c r="D186" s="1679"/>
      <c r="E186" s="1679"/>
      <c r="F186" s="2328"/>
      <c r="G186" s="2328"/>
      <c r="H186" s="1043"/>
      <c r="N186" s="2058"/>
      <c r="P186" s="2058"/>
      <c r="Q186" s="2328"/>
      <c r="R186" s="2328"/>
      <c r="S186" s="2058"/>
      <c r="T186" s="2058"/>
      <c r="U186" s="2058"/>
      <c r="V186" s="2058"/>
      <c r="W186" s="2328"/>
      <c r="X186" s="2058"/>
      <c r="Y186" s="2058"/>
      <c r="Z186" s="1236"/>
      <c r="AA186" s="2058"/>
      <c r="AB186" s="2058"/>
      <c r="AC186" s="2058"/>
      <c r="AD186" s="2058"/>
      <c r="AE186" s="2058"/>
      <c r="AF186" s="2324"/>
      <c r="AG186" s="1314"/>
      <c r="AH186" s="1314"/>
      <c r="AI186" s="1314"/>
      <c r="AJ186" s="1314"/>
      <c r="AK186" s="2333">
        <v>11</v>
      </c>
    </row>
    <row s="61193" customFormat="1" customHeight="1" ht="11.549999999999999">
      <c r="A187" s="1679"/>
      <c r="B187" s="1679"/>
      <c r="C187" s="1679"/>
      <c r="D187" s="1679"/>
      <c r="E187" s="1679"/>
      <c r="F187" s="2328"/>
      <c r="G187" s="2328"/>
      <c r="H187" s="1043"/>
      <c r="N187" s="2058"/>
      <c r="P187" s="2058"/>
      <c r="Q187" s="2328"/>
      <c r="R187" s="2328"/>
      <c r="S187" s="2058"/>
      <c r="T187" s="2058"/>
      <c r="U187" s="2058"/>
      <c r="V187" s="2058"/>
      <c r="W187" s="2328"/>
      <c r="X187" s="2058"/>
      <c r="Y187" s="2058"/>
      <c r="Z187" s="1236"/>
      <c r="AA187" s="2058"/>
      <c r="AB187" s="2058"/>
      <c r="AC187" s="2058"/>
      <c r="AD187" s="2058"/>
      <c r="AE187" s="2058"/>
      <c r="AF187" s="2324"/>
      <c r="AG187" s="1314"/>
      <c r="AH187" s="1314"/>
      <c r="AI187" s="1314"/>
      <c r="AJ187" s="1314"/>
      <c r="AK187" s="2333">
        <v>11</v>
      </c>
    </row>
    <row s="61193" customFormat="1" customHeight="1" ht="11.549999999999999">
      <c r="A188" s="1679"/>
      <c r="B188" s="1679"/>
      <c r="C188" s="1679"/>
      <c r="D188" s="1679"/>
      <c r="E188" s="1679"/>
      <c r="F188" s="2328"/>
      <c r="G188" s="2328"/>
      <c r="H188" s="1043"/>
      <c r="N188" s="2058"/>
      <c r="P188" s="2058"/>
      <c r="Q188" s="2328"/>
      <c r="R188" s="2328"/>
      <c r="S188" s="2058"/>
      <c r="T188" s="2058"/>
      <c r="U188" s="2058"/>
      <c r="V188" s="2058"/>
      <c r="W188" s="2328"/>
      <c r="X188" s="2058"/>
      <c r="Y188" s="2058"/>
      <c r="Z188" s="1236"/>
      <c r="AA188" s="2058"/>
      <c r="AB188" s="2058"/>
      <c r="AC188" s="2058"/>
      <c r="AD188" s="2058"/>
      <c r="AE188" s="2058"/>
      <c r="AF188" s="2324"/>
      <c r="AG188" s="1314"/>
      <c r="AH188" s="1314"/>
      <c r="AI188" s="1314"/>
      <c r="AJ188" s="1314"/>
      <c r="AK188" s="2333">
        <v>11</v>
      </c>
    </row>
    <row s="61193" customFormat="1" customHeight="1" ht="11.549999999999999">
      <c r="A189" s="1679"/>
      <c r="B189" s="1679"/>
      <c r="C189" s="1679"/>
      <c r="D189" s="1679"/>
      <c r="E189" s="1679"/>
      <c r="F189" s="2328"/>
      <c r="G189" s="2328"/>
      <c r="H189" s="1043"/>
      <c r="N189" s="2058"/>
      <c r="P189" s="2058"/>
      <c r="Q189" s="2328"/>
      <c r="R189" s="2328"/>
      <c r="S189" s="2058"/>
      <c r="T189" s="2058"/>
      <c r="U189" s="2058"/>
      <c r="V189" s="2058"/>
      <c r="W189" s="2328"/>
      <c r="X189" s="2058"/>
      <c r="Y189" s="2058"/>
      <c r="Z189" s="1236"/>
      <c r="AA189" s="2058"/>
      <c r="AB189" s="2058"/>
      <c r="AC189" s="2058"/>
      <c r="AD189" s="2058"/>
      <c r="AE189" s="2058"/>
      <c r="AF189" s="2324"/>
      <c r="AG189" s="1314"/>
      <c r="AH189" s="1314"/>
      <c r="AI189" s="1314"/>
      <c r="AJ189" s="1314"/>
      <c r="AK189" s="2333">
        <v>11</v>
      </c>
    </row>
    <row customHeight="1" ht="11.549999999999999">
      <c r="AK190" s="2323">
        <v>11</v>
      </c>
    </row>
    <row customHeight="1" ht="11.549999999999999">
      <c r="AK191" s="2323">
        <v>11</v>
      </c>
    </row>
    <row customHeight="1" ht="11.549999999999999">
      <c r="AK192" s="2323">
        <v>11</v>
      </c>
    </row>
    <row customHeight="1" ht="11.549999999999999">
      <c r="A193" s="1682"/>
      <c r="B193" s="1682"/>
      <c r="C193" s="1682"/>
      <c r="D193" s="1682"/>
      <c r="E193" s="1682"/>
      <c r="F193" s="2323"/>
      <c r="H193" s="2323"/>
      <c r="N193" s="2323"/>
      <c r="P193" s="2323"/>
      <c r="S193" s="2323"/>
      <c r="T193" s="2323"/>
      <c r="U193" s="2323"/>
      <c r="V193" s="2323"/>
      <c r="X193" s="2323"/>
      <c r="Y193" s="2323"/>
      <c r="Z193" s="2323"/>
      <c r="AA193" s="2323"/>
      <c r="AB193" s="2323"/>
      <c r="AC193" s="2323"/>
      <c r="AD193" s="2323"/>
      <c r="AE193" s="2323"/>
      <c r="AF193" s="2323"/>
      <c r="AG193" s="2323"/>
      <c r="AH193" s="2323"/>
      <c r="AI193" s="2323"/>
      <c r="AJ193" s="2323"/>
      <c r="AK193" s="2323">
        <v>11</v>
      </c>
    </row>
    <row customHeight="1" ht="11.549999999999999">
      <c r="A194" s="1682"/>
      <c r="B194" s="1682"/>
      <c r="C194" s="1682"/>
      <c r="D194" s="1682"/>
      <c r="E194" s="1682"/>
      <c r="F194" s="2323"/>
      <c r="H194" s="2323"/>
      <c r="N194" s="2323"/>
      <c r="P194" s="2323"/>
      <c r="S194" s="2323"/>
      <c r="T194" s="2323"/>
      <c r="U194" s="2323"/>
      <c r="V194" s="2323"/>
      <c r="X194" s="2323"/>
      <c r="Y194" s="2323"/>
      <c r="Z194" s="2323"/>
      <c r="AA194" s="2323"/>
      <c r="AB194" s="2323"/>
      <c r="AC194" s="2323"/>
      <c r="AD194" s="2323"/>
      <c r="AE194" s="2323"/>
      <c r="AF194" s="2323"/>
      <c r="AG194" s="2323"/>
      <c r="AH194" s="2323"/>
      <c r="AI194" s="2323"/>
      <c r="AJ194" s="2323"/>
      <c r="AK194" s="2323">
        <v>11</v>
      </c>
    </row>
    <row customHeight="1" ht="11.549999999999999">
      <c r="A195" s="1682"/>
      <c r="B195" s="1682"/>
      <c r="C195" s="1682"/>
      <c r="D195" s="1682"/>
      <c r="E195" s="1682"/>
      <c r="F195" s="2323"/>
      <c r="H195" s="2323"/>
      <c r="N195" s="2323"/>
      <c r="P195" s="2323"/>
      <c r="S195" s="2323"/>
      <c r="T195" s="2323"/>
      <c r="U195" s="2323"/>
      <c r="V195" s="2323"/>
      <c r="X195" s="2323"/>
      <c r="Y195" s="2323"/>
      <c r="Z195" s="2323"/>
      <c r="AA195" s="2323"/>
      <c r="AB195" s="2323"/>
      <c r="AC195" s="2323"/>
      <c r="AD195" s="2323"/>
      <c r="AE195" s="2323"/>
      <c r="AF195" s="2323"/>
      <c r="AG195" s="2323"/>
      <c r="AH195" s="2323"/>
      <c r="AI195" s="2323"/>
      <c r="AJ195" s="2323"/>
      <c r="AK195" s="2323">
        <v>11</v>
      </c>
    </row>
    <row customHeight="1" ht="11.549999999999999">
      <c r="A196" s="1682"/>
      <c r="B196" s="1682"/>
      <c r="C196" s="1682"/>
      <c r="D196" s="1682"/>
      <c r="E196" s="1682"/>
      <c r="F196" s="2323"/>
      <c r="H196" s="2323"/>
      <c r="N196" s="2323"/>
      <c r="P196" s="2323"/>
      <c r="S196" s="2323"/>
      <c r="T196" s="2323"/>
      <c r="U196" s="2323"/>
      <c r="V196" s="2323"/>
      <c r="X196" s="2323"/>
      <c r="Y196" s="2323"/>
      <c r="Z196" s="2323"/>
      <c r="AA196" s="2323"/>
      <c r="AB196" s="2323"/>
      <c r="AC196" s="2323"/>
      <c r="AD196" s="2323"/>
      <c r="AE196" s="2323"/>
      <c r="AF196" s="2323"/>
      <c r="AG196" s="2323"/>
      <c r="AH196" s="2323"/>
      <c r="AI196" s="2323"/>
      <c r="AJ196" s="2323"/>
      <c r="AK196" s="2323">
        <v>11</v>
      </c>
    </row>
    <row customHeight="1" ht="11.549999999999999">
      <c r="A197" s="1682"/>
      <c r="B197" s="1682"/>
      <c r="C197" s="1682"/>
      <c r="D197" s="1682"/>
      <c r="E197" s="1682"/>
      <c r="F197" s="2323"/>
      <c r="H197" s="2323"/>
      <c r="N197" s="2323"/>
      <c r="P197" s="2323"/>
      <c r="S197" s="2323"/>
      <c r="T197" s="2323"/>
      <c r="U197" s="2323"/>
      <c r="V197" s="2323"/>
      <c r="X197" s="2323"/>
      <c r="Y197" s="2323"/>
      <c r="Z197" s="2323"/>
      <c r="AA197" s="2323"/>
      <c r="AB197" s="2323"/>
      <c r="AC197" s="2323"/>
      <c r="AD197" s="2323"/>
      <c r="AE197" s="2323"/>
      <c r="AF197" s="2323"/>
      <c r="AG197" s="2323"/>
      <c r="AH197" s="2323"/>
      <c r="AI197" s="2323"/>
      <c r="AJ197" s="2323"/>
      <c r="AK197" s="2323">
        <v>11</v>
      </c>
    </row>
    <row customHeight="1" ht="11.549999999999999">
      <c r="A198" s="1682"/>
      <c r="B198" s="1682"/>
      <c r="C198" s="1682"/>
      <c r="D198" s="1682"/>
      <c r="E198" s="1682"/>
      <c r="F198" s="2323"/>
      <c r="H198" s="2323"/>
      <c r="N198" s="2323"/>
      <c r="P198" s="2323"/>
      <c r="S198" s="2323"/>
      <c r="T198" s="2323"/>
      <c r="U198" s="2323"/>
      <c r="V198" s="2323"/>
      <c r="X198" s="2323"/>
      <c r="Y198" s="2323"/>
      <c r="Z198" s="2323"/>
      <c r="AA198" s="2323"/>
      <c r="AB198" s="2323"/>
      <c r="AC198" s="2323"/>
      <c r="AD198" s="2323"/>
      <c r="AE198" s="2323"/>
      <c r="AF198" s="2323"/>
      <c r="AG198" s="2323"/>
      <c r="AH198" s="2323"/>
      <c r="AI198" s="2323"/>
      <c r="AJ198" s="2323"/>
      <c r="AK198" s="2323">
        <v>11</v>
      </c>
    </row>
    <row customHeight="1" ht="11.549999999999999">
      <c r="A199" s="1682"/>
      <c r="B199" s="1682"/>
      <c r="C199" s="1682"/>
      <c r="D199" s="1682"/>
      <c r="E199" s="1682"/>
      <c r="F199" s="2323"/>
      <c r="H199" s="2323"/>
      <c r="N199" s="2323"/>
      <c r="P199" s="2323"/>
      <c r="S199" s="2323"/>
      <c r="T199" s="2323"/>
      <c r="U199" s="2323"/>
      <c r="V199" s="2323"/>
      <c r="X199" s="2323"/>
      <c r="Y199" s="2323"/>
      <c r="Z199" s="2323"/>
      <c r="AA199" s="2323"/>
      <c r="AB199" s="2323"/>
      <c r="AC199" s="2323"/>
      <c r="AD199" s="2323"/>
      <c r="AE199" s="2323"/>
      <c r="AF199" s="2323"/>
      <c r="AG199" s="2323"/>
      <c r="AH199" s="2323"/>
      <c r="AI199" s="2323"/>
      <c r="AJ199" s="2323"/>
      <c r="AK199" s="2323">
        <v>11</v>
      </c>
    </row>
    <row customHeight="1" ht="11.549999999999999">
      <c r="A200" s="1682"/>
      <c r="B200" s="1682"/>
      <c r="C200" s="1682"/>
      <c r="D200" s="1682"/>
      <c r="E200" s="1682"/>
      <c r="F200" s="2323"/>
      <c r="H200" s="2323"/>
      <c r="N200" s="2323"/>
      <c r="P200" s="2323"/>
      <c r="S200" s="2323"/>
      <c r="T200" s="2323"/>
      <c r="U200" s="2323"/>
      <c r="V200" s="2323"/>
      <c r="X200" s="2323"/>
      <c r="Y200" s="2323"/>
      <c r="Z200" s="2323"/>
      <c r="AA200" s="2323"/>
      <c r="AB200" s="2323"/>
      <c r="AC200" s="2323"/>
      <c r="AD200" s="2323"/>
      <c r="AE200" s="2323"/>
      <c r="AF200" s="2323"/>
      <c r="AG200" s="2323"/>
      <c r="AH200" s="2323"/>
      <c r="AI200" s="2323"/>
      <c r="AJ200" s="2323"/>
      <c r="AK200" s="2323">
        <v>11</v>
      </c>
    </row>
    <row customHeight="1" ht="11.549999999999999">
      <c r="A201" s="1682"/>
      <c r="B201" s="1682"/>
      <c r="C201" s="1682"/>
      <c r="D201" s="1682"/>
      <c r="E201" s="1682"/>
      <c r="F201" s="2323"/>
      <c r="H201" s="2323"/>
      <c r="N201" s="2323"/>
      <c r="P201" s="2323"/>
      <c r="S201" s="2323"/>
      <c r="T201" s="2323"/>
      <c r="U201" s="2323"/>
      <c r="V201" s="2323"/>
      <c r="X201" s="2323"/>
      <c r="Y201" s="2323"/>
      <c r="Z201" s="2323"/>
      <c r="AA201" s="2323"/>
      <c r="AB201" s="2323"/>
      <c r="AC201" s="2323"/>
      <c r="AD201" s="2323"/>
      <c r="AE201" s="2323"/>
      <c r="AF201" s="2323"/>
      <c r="AG201" s="2323"/>
      <c r="AH201" s="2323"/>
      <c r="AI201" s="2323"/>
      <c r="AJ201" s="2323"/>
      <c r="AK201" s="2323">
        <v>11</v>
      </c>
    </row>
    <row customHeight="1" ht="11.549999999999999">
      <c r="A202" s="1682"/>
      <c r="B202" s="1682"/>
      <c r="C202" s="1682"/>
      <c r="D202" s="1682"/>
      <c r="E202" s="1682"/>
      <c r="F202" s="2323"/>
      <c r="H202" s="2323"/>
      <c r="N202" s="2323"/>
      <c r="P202" s="2323"/>
      <c r="S202" s="2323"/>
      <c r="T202" s="2323"/>
      <c r="U202" s="2323"/>
      <c r="V202" s="2323"/>
      <c r="X202" s="2323"/>
      <c r="Y202" s="2323"/>
      <c r="Z202" s="2323"/>
      <c r="AA202" s="2323"/>
      <c r="AB202" s="2323"/>
      <c r="AC202" s="2323"/>
      <c r="AD202" s="2323"/>
      <c r="AE202" s="2323"/>
      <c r="AF202" s="2323"/>
      <c r="AG202" s="2323"/>
      <c r="AH202" s="2323"/>
      <c r="AI202" s="2323"/>
      <c r="AJ202" s="2323"/>
      <c r="AK202" s="2323">
        <v>11</v>
      </c>
    </row>
    <row customHeight="1" ht="11.549999999999999">
      <c r="A203" s="1682"/>
      <c r="B203" s="1682"/>
      <c r="C203" s="1682"/>
      <c r="D203" s="1682"/>
      <c r="E203" s="1682"/>
      <c r="F203" s="2323"/>
      <c r="H203" s="2323"/>
      <c r="N203" s="2323"/>
      <c r="P203" s="2323"/>
      <c r="S203" s="2323"/>
      <c r="T203" s="2323"/>
      <c r="U203" s="2323"/>
      <c r="V203" s="2323"/>
      <c r="X203" s="2323"/>
      <c r="Y203" s="2323"/>
      <c r="Z203" s="2323"/>
      <c r="AA203" s="2323"/>
      <c r="AB203" s="2323"/>
      <c r="AC203" s="2323"/>
      <c r="AD203" s="2323"/>
      <c r="AE203" s="2323"/>
      <c r="AF203" s="2323"/>
      <c r="AG203" s="2323"/>
      <c r="AH203" s="2323"/>
      <c r="AI203" s="2323"/>
      <c r="AJ203" s="2323"/>
      <c r="AK203" s="2323">
        <v>11</v>
      </c>
    </row>
    <row customHeight="1" ht="12.75" hidden="1">
      <c r="A204" s="1679" t="s">
        <v>83</v>
      </c>
      <c r="B204" s="1679" t="s">
        <v>157</v>
      </c>
      <c r="C204" s="1679" t="s">
        <v>157</v>
      </c>
      <c r="D204" s="1679" t="s">
        <v>157</v>
      </c>
      <c r="E204" s="1679" t="s">
        <v>157</v>
      </c>
      <c r="F204" s="2327">
        <v>16</v>
      </c>
      <c r="G204" s="2328">
        <v>0</v>
      </c>
      <c r="H204" s="2327">
        <v>3</v>
      </c>
      <c r="I204" s="2323">
        <v>7</v>
      </c>
      <c r="J204" s="2323">
        <v>56</v>
      </c>
      <c r="K204" s="2323">
        <v>10</v>
      </c>
      <c r="L204" s="2323">
        <v>40</v>
      </c>
      <c r="M204" s="2323">
        <v>40</v>
      </c>
      <c r="N204" s="2058">
        <v>9</v>
      </c>
      <c r="O204" s="2323">
        <v>102</v>
      </c>
      <c r="P204" s="2058">
        <v>9</v>
      </c>
      <c r="Q204" s="2328">
        <v>5</v>
      </c>
      <c r="R204" s="2328">
        <v>3</v>
      </c>
      <c r="S204" s="2058">
        <v>3</v>
      </c>
      <c r="T204" s="2058">
        <v>3</v>
      </c>
      <c r="U204" s="2058">
        <v>3</v>
      </c>
      <c r="V204" s="2058">
        <v>3</v>
      </c>
      <c r="W204" s="2328">
        <v>10</v>
      </c>
      <c r="X204" s="2058">
        <v>34</v>
      </c>
      <c r="Y204" s="2058">
        <v>9</v>
      </c>
      <c r="Z204" s="1236">
        <v>8</v>
      </c>
      <c r="AA204" s="2058">
        <v>8</v>
      </c>
      <c r="AB204" s="2058">
        <v>8</v>
      </c>
      <c r="AC204" s="2058">
        <v>8</v>
      </c>
      <c r="AD204" s="2058">
        <v>8</v>
      </c>
      <c r="AE204" s="2058">
        <v>8</v>
      </c>
      <c r="AF204" s="2324">
        <v>8</v>
      </c>
      <c r="AG204" s="2324">
        <v>8</v>
      </c>
      <c r="AH204" s="2324">
        <v>8</v>
      </c>
      <c r="AI204" s="2324">
        <v>8</v>
      </c>
      <c r="AJ204" s="2324">
        <v>8</v>
      </c>
      <c r="AK204" s="2323">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ACD7A4-E80A-0C7C-31DC-7A0421EBD60A}"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62286" width="10.57421875" hidden="1"/>
    <col min="5" max="5" style="63184" width="9.140625" hidden="1" customWidth="1"/>
    <col min="6" max="7" style="62148" width="9.140625" hidden="1" customWidth="1"/>
    <col min="8" max="8" style="62288" width="3.00390625" customWidth="1"/>
    <col min="9" max="9" style="62286" width="6.00390625" customWidth="1"/>
    <col min="10" max="10" style="62286" width="63.00390625" customWidth="1"/>
    <col min="11" max="11" style="62286" width="9.00390625" customWidth="1"/>
    <col min="12" max="12" style="62286" width="39.00390625" customWidth="1"/>
    <col min="13" max="13" style="62286" width="89.00390625" customWidth="1"/>
    <col min="14" max="14" style="62286" width="10.00390625" customWidth="1"/>
    <col min="15" max="16" style="62151" width="10.00390625" customWidth="1"/>
    <col min="17" max="22" style="62286" width="10.00390625" customWidth="1"/>
    <col min="23" max="23" style="62286" width="10.57421875" hidden="1"/>
  </cols>
  <sheetData>
    <row customHeight="1" ht="22.5" hidden="1">
      <c r="S1" s="947"/>
      <c r="T1" s="947"/>
      <c r="V1" s="947"/>
      <c r="W1" s="2323" t="s">
        <v>14</v>
      </c>
    </row>
    <row customHeight="1" ht="22.5" hidden="1">
      <c r="B2" s="2745" t="s">
        <v>761</v>
      </c>
      <c r="C2" s="2745" t="s">
        <v>762</v>
      </c>
      <c r="D2" s="2744" t="s">
        <v>701</v>
      </c>
      <c r="E2" s="2750">
        <f>I2-3</f>
        <v>-3</v>
      </c>
      <c r="F2" s="2750">
        <f>J2</f>
        <v>0</v>
      </c>
      <c r="H2" s="2422" t="s">
        <v>104</v>
      </c>
      <c r="I2" s="2716"/>
      <c r="J2" s="2374"/>
      <c r="K2" s="2710" t="s">
        <v>381</v>
      </c>
      <c r="L2" s="1856"/>
      <c r="M2" s="989"/>
      <c r="N2" s="2316"/>
      <c r="P2" s="2323"/>
      <c r="W2" s="2323">
        <v>0</v>
      </c>
    </row>
    <row customHeight="1" ht="14.25" hidden="1">
      <c r="W3" s="2323">
        <v>0</v>
      </c>
    </row>
    <row customHeight="1" ht="6.3">
      <c r="H4" s="1068"/>
      <c r="I4" s="1149"/>
      <c r="J4" s="1149"/>
      <c r="K4" s="1149"/>
      <c r="L4" s="777"/>
      <c r="M4" s="777"/>
      <c r="W4" s="2323">
        <v>6</v>
      </c>
    </row>
    <row customHeight="1" ht="50.25">
      <c r="H5" s="1068"/>
      <c r="I5" s="2940" t="s">
        <v>763</v>
      </c>
      <c r="J5" s="2940"/>
      <c r="K5" s="2940"/>
      <c r="L5" s="2940"/>
      <c r="M5" s="958"/>
      <c r="W5" s="2323">
        <v>48</v>
      </c>
    </row>
    <row customHeight="1" ht="18">
      <c r="H6" s="1068"/>
      <c r="I6" s="2941" t="str">
        <f>IF(org=0,"Не определено",org)</f>
        <v>АО "ДГК"</v>
      </c>
      <c r="J6" s="2941"/>
      <c r="K6" s="2941"/>
      <c r="L6" s="2941"/>
      <c r="M6" s="958"/>
      <c r="W6" s="2323">
        <v>17</v>
      </c>
    </row>
    <row customHeight="1" ht="14.699999999999998">
      <c r="H7" s="1068"/>
      <c r="I7" s="1149"/>
      <c r="J7" s="1155"/>
      <c r="K7" s="1155"/>
      <c r="L7" s="1444"/>
      <c r="M7" s="885"/>
      <c r="W7" s="2323">
        <v>14</v>
      </c>
    </row>
    <row customHeight="1" ht="14.699999999999998">
      <c r="H8" s="1068"/>
      <c r="I8" s="3078" t="s">
        <v>375</v>
      </c>
      <c r="J8" s="3079"/>
      <c r="K8" s="3079"/>
      <c r="L8" s="3080"/>
      <c r="M8" s="3081" t="s">
        <v>376</v>
      </c>
      <c r="W8" s="2323">
        <v>14</v>
      </c>
    </row>
    <row customHeight="1" ht="35.699999999999996">
      <c r="E9" s="2743" t="s">
        <v>692</v>
      </c>
      <c r="F9" s="2743" t="s">
        <v>698</v>
      </c>
      <c r="H9" s="1068"/>
      <c r="I9" s="2717" t="s">
        <v>89</v>
      </c>
      <c r="J9" s="2718" t="s">
        <v>377</v>
      </c>
      <c r="K9" s="2756" t="s">
        <v>640</v>
      </c>
      <c r="L9" s="2757" t="s">
        <v>378</v>
      </c>
      <c r="M9" s="3081"/>
      <c r="W9" s="2323">
        <v>34</v>
      </c>
    </row>
    <row customHeight="1" ht="35.699999999999996">
      <c r="B10" s="2745" t="s">
        <v>764</v>
      </c>
      <c r="C10" s="2745" t="s">
        <v>765</v>
      </c>
      <c r="D10" s="2744" t="s">
        <v>701</v>
      </c>
      <c r="E10" s="2748" t="s">
        <v>702</v>
      </c>
      <c r="F10" s="2748" t="s">
        <v>702</v>
      </c>
      <c r="H10" s="1068"/>
      <c r="I10" s="2716" t="s">
        <v>118</v>
      </c>
      <c r="J10" s="2578" t="s">
        <v>766</v>
      </c>
      <c r="K10" s="2710" t="s">
        <v>381</v>
      </c>
      <c r="L10" s="1510"/>
      <c r="M10" s="989" t="s">
        <v>767</v>
      </c>
      <c r="W10" s="2323">
        <v>34</v>
      </c>
    </row>
    <row customHeight="1" ht="50.25">
      <c r="B11" s="2745" t="s">
        <v>768</v>
      </c>
      <c r="C11" s="2745" t="s">
        <v>769</v>
      </c>
      <c r="D11" s="2744" t="s">
        <v>701</v>
      </c>
      <c r="E11" s="2748" t="s">
        <v>702</v>
      </c>
      <c r="F11" s="2748" t="s">
        <v>702</v>
      </c>
      <c r="H11" s="1068"/>
      <c r="I11" s="2716" t="s">
        <v>103</v>
      </c>
      <c r="J11" s="2578" t="s">
        <v>770</v>
      </c>
      <c r="K11" s="2710" t="s">
        <v>381</v>
      </c>
      <c r="L11" s="1510"/>
      <c r="M11" s="989" t="s">
        <v>767</v>
      </c>
      <c r="W11" s="2323">
        <v>48</v>
      </c>
    </row>
    <row customHeight="1" ht="48.29999999999999">
      <c r="B12" s="2745" t="s">
        <v>771</v>
      </c>
      <c r="C12" s="2745" t="s">
        <v>772</v>
      </c>
      <c r="D12" s="2744" t="s">
        <v>701</v>
      </c>
      <c r="E12" s="2748" t="s">
        <v>702</v>
      </c>
      <c r="F12" s="2748" t="s">
        <v>702</v>
      </c>
      <c r="H12" s="2380"/>
      <c r="I12" s="2716" t="s">
        <v>91</v>
      </c>
      <c r="J12" s="2723" t="s">
        <v>773</v>
      </c>
      <c r="K12" s="2710" t="s">
        <v>381</v>
      </c>
      <c r="L12" s="1510"/>
      <c r="M12" s="989" t="s">
        <v>774</v>
      </c>
      <c r="N12" s="2316"/>
      <c r="P12" s="2323"/>
      <c r="W12" s="2323">
        <v>46</v>
      </c>
    </row>
    <row customHeight="1" ht="14.699999999999998">
      <c r="E13" s="1035"/>
      <c r="H13" s="1068"/>
      <c r="I13" s="1039"/>
      <c r="J13" s="1343" t="s">
        <v>775</v>
      </c>
      <c r="K13" s="1263"/>
      <c r="L13" s="906"/>
      <c r="M13" s="989"/>
      <c r="W13" s="2323">
        <v>14</v>
      </c>
    </row>
    <row customHeight="1" ht="14.699999999999998">
      <c r="E14" s="1035"/>
      <c r="H14" s="1068"/>
      <c r="I14" s="1749"/>
      <c r="J14" s="2369"/>
      <c r="K14" s="2370"/>
      <c r="L14" s="2371"/>
      <c r="M14" s="2720"/>
      <c r="W14" s="2323">
        <v>14</v>
      </c>
    </row>
    <row customHeight="1" ht="14.699999999999998">
      <c r="I15" s="2373"/>
      <c r="J15" s="3077"/>
      <c r="K15" s="3077"/>
      <c r="L15" s="3077"/>
      <c r="M15" s="3077"/>
      <c r="W15" s="2323">
        <v>14</v>
      </c>
    </row>
    <row customHeight="1" ht="21" hidden="1">
      <c r="A16" s="2722" t="s">
        <v>83</v>
      </c>
      <c r="B16" s="2323">
        <v>9</v>
      </c>
      <c r="C16" s="2323">
        <v>9</v>
      </c>
      <c r="D16" s="2323">
        <v>9</v>
      </c>
      <c r="E16" s="2722" t="s">
        <v>156</v>
      </c>
      <c r="F16" s="2747" t="s">
        <v>156</v>
      </c>
      <c r="G16" s="2749"/>
      <c r="H16" s="1036">
        <v>3</v>
      </c>
      <c r="I16" s="2323">
        <v>6</v>
      </c>
      <c r="J16" s="2323">
        <v>63</v>
      </c>
      <c r="K16" s="2323">
        <v>9</v>
      </c>
      <c r="L16" s="2323">
        <v>39</v>
      </c>
      <c r="M16" s="2323">
        <v>89</v>
      </c>
      <c r="N16" s="2323">
        <v>10</v>
      </c>
      <c r="O16" s="2316">
        <v>10</v>
      </c>
      <c r="P16" s="2316">
        <v>10</v>
      </c>
      <c r="Q16" s="2323">
        <v>10</v>
      </c>
      <c r="R16" s="2323">
        <v>10</v>
      </c>
      <c r="S16" s="2323">
        <v>10</v>
      </c>
      <c r="T16" s="2323">
        <v>10</v>
      </c>
      <c r="U16" s="2323">
        <v>10</v>
      </c>
      <c r="V16" s="2323">
        <v>10</v>
      </c>
      <c r="W16" s="2323">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B9CE92-2748-A807-77FA-BCD1D35164A6}"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61672" width="10.7109375" hidden="1" customWidth="1"/>
    <col min="2" max="2" style="62148" width="16.8515625" hidden="1" customWidth="1"/>
    <col min="3" max="3" style="61695" width="5.57421875" hidden="1" customWidth="1"/>
    <col min="4" max="4" style="62286" width="3.00390625" customWidth="1"/>
    <col min="5" max="5" style="62286" width="7.00390625" customWidth="1"/>
    <col min="6" max="6" style="62286" width="56.00390625" customWidth="1"/>
    <col min="7" max="7" style="62286" width="10.00390625" customWidth="1"/>
    <col min="8" max="8" style="62286" width="40.7109375" hidden="1" customWidth="1"/>
    <col min="9" max="9" style="62286" width="40.00390625" customWidth="1"/>
    <col min="10" max="10" style="62286" width="102.00390625" customWidth="1"/>
    <col min="11" max="11" style="62148" width="9.00390625" customWidth="1"/>
    <col min="12" max="12" style="61695" width="5.00390625" customWidth="1"/>
    <col min="13" max="13" style="61695" width="3.00390625" customWidth="1"/>
    <col min="14" max="17" style="62148" width="3.00390625" customWidth="1"/>
    <col min="18" max="18" style="61695" width="10.00390625" customWidth="1"/>
    <col min="19" max="19" style="62148" width="34.00390625" customWidth="1"/>
    <col min="20" max="20" style="62148" width="9.00390625" customWidth="1"/>
    <col min="21" max="21" style="61673" width="8.00390625" customWidth="1"/>
    <col min="22" max="26" style="62148" width="8.00390625" customWidth="1"/>
    <col min="27" max="31" style="62759" width="8.00390625" customWidth="1"/>
    <col min="32" max="32" style="62286" width="10.421875" hidden="1" customWidth="1"/>
  </cols>
  <sheetData>
    <row s="62148" customFormat="1" customHeight="1" ht="22.5" hidden="1">
      <c r="A1" s="1679"/>
      <c r="C1" s="2328"/>
      <c r="D1" s="1229"/>
      <c r="H1" s="1852">
        <v>4</v>
      </c>
      <c r="I1" s="1852">
        <v>4</v>
      </c>
      <c r="L1" s="2328"/>
      <c r="M1" s="2328"/>
      <c r="R1" s="2328"/>
      <c r="AF1" s="1852" t="s">
        <v>14</v>
      </c>
    </row>
    <row s="62148" customFormat="1" customHeight="1" ht="22.5" hidden="1">
      <c r="A2" s="1679"/>
      <c r="C2" s="2328"/>
      <c r="D2" s="1230"/>
      <c r="E2" s="2329"/>
      <c r="F2" s="1232"/>
      <c r="G2" s="2331" t="s">
        <v>626</v>
      </c>
      <c r="H2" s="1233"/>
      <c r="I2" s="1233"/>
      <c r="J2" s="1234" t="s">
        <v>776</v>
      </c>
      <c r="K2" s="1235"/>
      <c r="L2" s="2328"/>
      <c r="M2" s="2328"/>
      <c r="R2" s="2328"/>
      <c r="U2" s="1236"/>
      <c r="AA2" s="2324"/>
      <c r="AB2" s="2324"/>
      <c r="AC2" s="2324"/>
      <c r="AD2" s="2324"/>
      <c r="AE2" s="2324"/>
      <c r="AF2" s="1852">
        <v>0</v>
      </c>
    </row>
    <row customHeight="1" ht="11.25" hidden="1">
      <c r="AF3" s="2323">
        <v>0</v>
      </c>
    </row>
    <row s="62759" customFormat="1" customHeight="1" ht="11.25" hidden="1">
      <c r="A4" s="1679"/>
      <c r="B4" s="1852"/>
      <c r="C4" s="2328"/>
      <c r="D4" s="1054"/>
      <c r="J4" s="2324">
        <v>4</v>
      </c>
      <c r="K4" s="1852"/>
      <c r="L4" s="2328"/>
      <c r="M4" s="2328"/>
      <c r="N4" s="1852"/>
      <c r="O4" s="1852"/>
      <c r="P4" s="1852"/>
      <c r="Q4" s="1852"/>
      <c r="R4" s="2328"/>
      <c r="S4" s="1852"/>
      <c r="T4" s="1852"/>
      <c r="U4" s="1236"/>
      <c r="V4" s="1852"/>
      <c r="W4" s="1852"/>
      <c r="X4" s="1852"/>
      <c r="Y4" s="1852"/>
      <c r="Z4" s="1852"/>
      <c r="AF4" s="2324">
        <v>0</v>
      </c>
    </row>
    <row customHeight="1" ht="11.549999999999999">
      <c r="AF5" s="2323">
        <v>11</v>
      </c>
    </row>
    <row customHeight="1" ht="31.5">
      <c r="E6" s="2999" t="s">
        <v>777</v>
      </c>
      <c r="F6" s="2999"/>
      <c r="G6" s="2999"/>
      <c r="H6" s="2999"/>
      <c r="I6" s="2999"/>
      <c r="J6" s="1248"/>
      <c r="AF6" s="2323">
        <v>30</v>
      </c>
    </row>
    <row customHeight="1" ht="11.549999999999999">
      <c r="E7" s="2941" t="str">
        <f>IF(org=0,"Не определено",org)</f>
        <v>АО "ДГК"</v>
      </c>
      <c r="F7" s="2941"/>
      <c r="G7" s="2941"/>
      <c r="H7" s="2941"/>
      <c r="I7" s="2941"/>
      <c r="AF7" s="2323">
        <v>11</v>
      </c>
    </row>
    <row customHeight="1" ht="11.549999999999999">
      <c r="E8" s="1827"/>
      <c r="F8" s="1827"/>
      <c r="G8" s="1827"/>
      <c r="H8" s="1827"/>
      <c r="I8" s="1827"/>
      <c r="AF8" s="2323">
        <v>11</v>
      </c>
    </row>
    <row s="61695" customFormat="1" customHeight="1" ht="4.2">
      <c r="A9" s="1859"/>
      <c r="D9" s="2334"/>
      <c r="H9" s="1581"/>
      <c r="I9" s="1581" t="s">
        <v>125</v>
      </c>
      <c r="AF9" s="2328">
        <v>4</v>
      </c>
    </row>
    <row customHeight="1" ht="11.549999999999999">
      <c r="E10" s="1403"/>
      <c r="F10" s="3059" t="s">
        <v>114</v>
      </c>
      <c r="G10" s="3060"/>
      <c r="H10" s="2244" t="str">
        <f>IF(H9="","",INDEX(DIFFERENTIATION_UNMERGE_VD,MATCH(H9,DIFFERENTIATION_ID_DIFF,0)))</f>
        <v/>
      </c>
      <c r="I10" s="2244">
        <f>IF(I9="","",INDEX(DIFFERENTIATION_UNMERGE_VD,MATCH(I9,DIFFERENTIATION_ID_DIFF,0)))</f>
        <v>0</v>
      </c>
      <c r="J10" s="2819"/>
      <c r="AF10" s="2323">
        <v>11</v>
      </c>
    </row>
    <row customHeight="1" ht="11.549999999999999">
      <c r="E11" s="1403"/>
      <c r="F11" s="3059" t="s">
        <v>638</v>
      </c>
      <c r="G11" s="3060"/>
      <c r="H11" s="2244" t="str">
        <f>IF(H9="","",INDEX(DIFFERENTIATION_UNMERGE_AREA,MATCH(H9,DIFFERENTIATION_ID_DIFF,0)))</f>
        <v/>
      </c>
      <c r="I11" s="2244" t="str">
        <f>IF(I9="","",INDEX(DIFFERENTIATION_UNMERGE_AREA,MATCH(I9,DIFFERENTIATION_ID_DIFF,0)))</f>
        <v/>
      </c>
      <c r="J11" s="2819"/>
      <c r="AF11" s="2323">
        <v>11</v>
      </c>
    </row>
    <row customHeight="1" ht="1.05">
      <c r="E12" s="2354"/>
      <c r="F12" s="3082" t="s">
        <v>639</v>
      </c>
      <c r="G12" s="3083"/>
      <c r="H12" s="2355" t="str">
        <f>IF(H9="","",INDEX(DIFFERENTIATION_UNMERGE_SYSTEM,MATCH(H9,DIFFERENTIATION_ID_DIFF,0)))</f>
        <v/>
      </c>
      <c r="I12" s="2355" t="str">
        <f>IF(I9="","",INDEX(DIFFERENTIATION_UNMERGE_SYSTEM,MATCH(I9,DIFFERENTIATION_ID_DIFF,0)))</f>
        <v>без дифференциации</v>
      </c>
      <c r="J12" s="2819"/>
      <c r="AF12" s="2323">
        <v>1</v>
      </c>
    </row>
    <row customHeight="1" ht="11.549999999999999">
      <c r="E13" s="3061" t="s">
        <v>375</v>
      </c>
      <c r="F13" s="3062"/>
      <c r="G13" s="3062"/>
      <c r="H13" s="2243"/>
      <c r="I13" s="2243"/>
      <c r="J13" s="2819"/>
      <c r="AF13" s="2323">
        <v>11</v>
      </c>
    </row>
    <row customHeight="1" ht="24">
      <c r="E14" s="2331" t="s">
        <v>89</v>
      </c>
      <c r="F14" s="2326" t="s">
        <v>377</v>
      </c>
      <c r="G14" s="2326" t="s">
        <v>640</v>
      </c>
      <c r="H14" s="2326" t="s">
        <v>378</v>
      </c>
      <c r="I14" s="2326" t="s">
        <v>378</v>
      </c>
      <c r="J14" s="2819"/>
      <c r="AF14" s="2323">
        <v>23</v>
      </c>
    </row>
    <row customHeight="1" ht="19.95">
      <c r="D15" s="2330"/>
      <c r="E15" s="2322" t="s">
        <v>118</v>
      </c>
      <c r="F15" s="1399" t="s">
        <v>778</v>
      </c>
      <c r="G15" s="2338" t="s">
        <v>626</v>
      </c>
      <c r="H15" s="1249"/>
      <c r="I15" s="1249"/>
      <c r="J15" s="981" t="s">
        <v>779</v>
      </c>
      <c r="K15" s="1235" t="s">
        <v>704</v>
      </c>
      <c r="AF15" s="2323">
        <v>19</v>
      </c>
    </row>
    <row customHeight="1" ht="35.699999999999996">
      <c r="D16" s="2330"/>
      <c r="E16" s="2322" t="s">
        <v>103</v>
      </c>
      <c r="F16" s="1399" t="s">
        <v>780</v>
      </c>
      <c r="G16" s="2338" t="s">
        <v>626</v>
      </c>
      <c r="H16" s="1250">
        <f>SUM(H17,H20:H32)</f>
        <v>0</v>
      </c>
      <c r="I16" s="1250">
        <f>SUM(I17,I20,I23,I26,I29:I32)</f>
        <v>0</v>
      </c>
      <c r="J16" s="981" t="s">
        <v>781</v>
      </c>
      <c r="K16" s="1235" t="s">
        <v>704</v>
      </c>
      <c r="AF16" s="2323">
        <v>34</v>
      </c>
    </row>
    <row customHeight="1" ht="19.95">
      <c r="D17" s="2330"/>
      <c r="E17" s="2356" t="s">
        <v>782</v>
      </c>
      <c r="F17" s="1646" t="s">
        <v>783</v>
      </c>
      <c r="G17" s="2335" t="s">
        <v>626</v>
      </c>
      <c r="H17" s="1249"/>
      <c r="I17" s="1249"/>
      <c r="J17" s="981" t="s">
        <v>784</v>
      </c>
      <c r="K17" s="1235"/>
      <c r="AF17" s="2323">
        <v>19</v>
      </c>
    </row>
    <row customHeight="1" ht="24">
      <c r="D18" s="2330"/>
      <c r="E18" s="2356" t="s">
        <v>785</v>
      </c>
      <c r="F18" s="2342" t="s">
        <v>786</v>
      </c>
      <c r="G18" s="2335" t="s">
        <v>626</v>
      </c>
      <c r="H18" s="1249"/>
      <c r="I18" s="1249"/>
      <c r="J18" s="981" t="s">
        <v>787</v>
      </c>
      <c r="K18" s="1235"/>
      <c r="AF18" s="2323">
        <v>23</v>
      </c>
    </row>
    <row customHeight="1" ht="35.699999999999996">
      <c r="D19" s="2330"/>
      <c r="E19" s="2356" t="s">
        <v>788</v>
      </c>
      <c r="F19" s="2342" t="s">
        <v>789</v>
      </c>
      <c r="G19" s="2335" t="s">
        <v>626</v>
      </c>
      <c r="H19" s="1249"/>
      <c r="I19" s="1249"/>
      <c r="J19" s="981"/>
      <c r="K19" s="1235"/>
      <c r="AF19" s="2323">
        <v>34</v>
      </c>
    </row>
    <row customHeight="1" ht="19.95">
      <c r="D20" s="2330"/>
      <c r="E20" s="2356" t="s">
        <v>382</v>
      </c>
      <c r="F20" s="1646" t="s">
        <v>790</v>
      </c>
      <c r="G20" s="2335" t="s">
        <v>626</v>
      </c>
      <c r="H20" s="1249"/>
      <c r="I20" s="1249"/>
      <c r="J20" s="981" t="s">
        <v>791</v>
      </c>
      <c r="K20" s="1235"/>
      <c r="AF20" s="2323">
        <v>19</v>
      </c>
    </row>
    <row customHeight="1" ht="19.95">
      <c r="D21" s="2330"/>
      <c r="E21" s="2356" t="s">
        <v>792</v>
      </c>
      <c r="F21" s="2342" t="s">
        <v>793</v>
      </c>
      <c r="G21" s="2335" t="s">
        <v>626</v>
      </c>
      <c r="H21" s="1249"/>
      <c r="I21" s="1249"/>
      <c r="J21" s="981"/>
      <c r="K21" s="1235"/>
      <c r="AF21" s="2323">
        <v>19</v>
      </c>
    </row>
    <row customHeight="1" ht="19.95">
      <c r="D22" s="2330"/>
      <c r="E22" s="2356" t="s">
        <v>794</v>
      </c>
      <c r="F22" s="2342" t="s">
        <v>795</v>
      </c>
      <c r="G22" s="2335" t="s">
        <v>626</v>
      </c>
      <c r="H22" s="1249"/>
      <c r="I22" s="1249"/>
      <c r="J22" s="981"/>
      <c r="K22" s="1235"/>
      <c r="AF22" s="2323">
        <v>19</v>
      </c>
    </row>
    <row customHeight="1" ht="24">
      <c r="D23" s="2330"/>
      <c r="E23" s="2356" t="s">
        <v>385</v>
      </c>
      <c r="F23" s="1646" t="s">
        <v>796</v>
      </c>
      <c r="G23" s="2335" t="s">
        <v>626</v>
      </c>
      <c r="H23" s="1249"/>
      <c r="I23" s="1249"/>
      <c r="J23" s="981" t="s">
        <v>797</v>
      </c>
      <c r="K23" s="1235"/>
      <c r="AF23" s="2323">
        <v>23</v>
      </c>
    </row>
    <row customHeight="1" ht="19.95">
      <c r="D24" s="2330"/>
      <c r="E24" s="2356" t="s">
        <v>798</v>
      </c>
      <c r="F24" s="2342" t="s">
        <v>799</v>
      </c>
      <c r="G24" s="2335" t="s">
        <v>626</v>
      </c>
      <c r="H24" s="1249"/>
      <c r="I24" s="1249"/>
      <c r="J24" s="981"/>
      <c r="K24" s="1235"/>
      <c r="AF24" s="2323">
        <v>19</v>
      </c>
    </row>
    <row customHeight="1" ht="35.699999999999996">
      <c r="D25" s="2330"/>
      <c r="E25" s="2356" t="s">
        <v>800</v>
      </c>
      <c r="F25" s="2342" t="s">
        <v>801</v>
      </c>
      <c r="G25" s="2335" t="s">
        <v>626</v>
      </c>
      <c r="H25" s="1249"/>
      <c r="I25" s="1249"/>
      <c r="J25" s="981"/>
      <c r="K25" s="1235"/>
      <c r="AF25" s="2323">
        <v>34</v>
      </c>
    </row>
    <row customHeight="1" ht="24">
      <c r="D26" s="2330"/>
      <c r="E26" s="2356" t="s">
        <v>802</v>
      </c>
      <c r="F26" s="1646" t="s">
        <v>803</v>
      </c>
      <c r="G26" s="2335" t="s">
        <v>626</v>
      </c>
      <c r="H26" s="1249"/>
      <c r="I26" s="1249"/>
      <c r="J26" s="981" t="s">
        <v>804</v>
      </c>
      <c r="K26" s="1235"/>
      <c r="AF26" s="2323">
        <v>23</v>
      </c>
    </row>
    <row customHeight="1" ht="19.95">
      <c r="D27" s="2330"/>
      <c r="E27" s="2367" t="s">
        <v>805</v>
      </c>
      <c r="F27" s="2342" t="s">
        <v>806</v>
      </c>
      <c r="G27" s="2346" t="s">
        <v>626</v>
      </c>
      <c r="H27" s="2368"/>
      <c r="I27" s="2368"/>
      <c r="J27" s="981"/>
      <c r="K27" s="1235"/>
      <c r="AF27" s="2323">
        <v>19</v>
      </c>
    </row>
    <row customHeight="1" ht="19.95">
      <c r="D28" s="2330"/>
      <c r="E28" s="2367" t="s">
        <v>807</v>
      </c>
      <c r="F28" s="2342" t="s">
        <v>808</v>
      </c>
      <c r="G28" s="2346" t="s">
        <v>626</v>
      </c>
      <c r="H28" s="2368"/>
      <c r="I28" s="2368"/>
      <c r="J28" s="981"/>
      <c r="K28" s="1235"/>
      <c r="AF28" s="2323">
        <v>19</v>
      </c>
    </row>
    <row customHeight="1" ht="19.95">
      <c r="D29" s="2330"/>
      <c r="E29" s="2367" t="s">
        <v>809</v>
      </c>
      <c r="F29" s="1646" t="s">
        <v>810</v>
      </c>
      <c r="G29" s="2346" t="s">
        <v>626</v>
      </c>
      <c r="H29" s="2368"/>
      <c r="I29" s="2368"/>
      <c r="J29" s="981"/>
      <c r="K29" s="1235"/>
      <c r="AF29" s="2323">
        <v>19</v>
      </c>
    </row>
    <row customHeight="1" ht="19.95">
      <c r="D30" s="2330"/>
      <c r="E30" s="2367" t="s">
        <v>811</v>
      </c>
      <c r="F30" s="1646" t="s">
        <v>812</v>
      </c>
      <c r="G30" s="2346" t="s">
        <v>626</v>
      </c>
      <c r="H30" s="2368"/>
      <c r="I30" s="2368"/>
      <c r="J30" s="981"/>
      <c r="K30" s="1235"/>
      <c r="AF30" s="2323">
        <v>19</v>
      </c>
    </row>
    <row customHeight="1" ht="19.95">
      <c r="D31" s="2330"/>
      <c r="E31" s="2367" t="s">
        <v>813</v>
      </c>
      <c r="F31" s="1646" t="s">
        <v>814</v>
      </c>
      <c r="G31" s="2346" t="s">
        <v>626</v>
      </c>
      <c r="H31" s="2368"/>
      <c r="I31" s="2368"/>
      <c r="J31" s="981"/>
      <c r="K31" s="1235"/>
      <c r="AF31" s="2323">
        <v>19</v>
      </c>
    </row>
    <row s="62148" customFormat="1" customHeight="1" ht="35.699999999999996">
      <c r="A32" s="1679"/>
      <c r="C32" s="2328"/>
      <c r="D32" s="2330"/>
      <c r="E32" s="2367" t="s">
        <v>815</v>
      </c>
      <c r="F32" s="1646" t="s">
        <v>816</v>
      </c>
      <c r="G32" s="2336" t="s">
        <v>626</v>
      </c>
      <c r="H32" s="1271">
        <f>SUM(H33:H34)</f>
        <v>0</v>
      </c>
      <c r="I32" s="1271">
        <f>SUM(I33:I34)</f>
        <v>0</v>
      </c>
      <c r="J32" s="981" t="s">
        <v>817</v>
      </c>
      <c r="K32" s="1235"/>
      <c r="L32" s="2328"/>
      <c r="M32" s="2328"/>
      <c r="R32" s="2328"/>
      <c r="U32" s="1236"/>
      <c r="AA32" s="2324"/>
      <c r="AB32" s="2324"/>
      <c r="AC32" s="2324"/>
      <c r="AD32" s="2324"/>
      <c r="AE32" s="2324"/>
      <c r="AF32" s="1852">
        <v>34</v>
      </c>
    </row>
    <row s="61695" customFormat="1" customHeight="1" ht="1.05">
      <c r="A33" s="1859"/>
      <c r="D33" s="1240"/>
      <c r="E33" s="1494" t="str">
        <f>E32&amp;".0"</f>
        <v>2.8.0</v>
      </c>
      <c r="F33" s="1683"/>
      <c r="G33" s="1243"/>
      <c r="H33" s="1684"/>
      <c r="I33" s="1684"/>
      <c r="J33" s="1685"/>
      <c r="AF33" s="2328">
        <v>1</v>
      </c>
    </row>
    <row s="62148" customFormat="1" customHeight="1" ht="19.95">
      <c r="A34" s="1679"/>
      <c r="C34" s="2328"/>
      <c r="D34" s="2325"/>
      <c r="E34" s="1262"/>
      <c r="F34" s="2358" t="s">
        <v>651</v>
      </c>
      <c r="G34" s="1264"/>
      <c r="H34" s="1265"/>
      <c r="I34" s="1265"/>
      <c r="J34" s="993" t="s">
        <v>818</v>
      </c>
      <c r="K34" s="1235"/>
      <c r="L34" s="2328"/>
      <c r="M34" s="2328"/>
      <c r="R34" s="2328"/>
      <c r="U34" s="1236"/>
      <c r="AA34" s="2324"/>
      <c r="AB34" s="2324"/>
      <c r="AC34" s="2324"/>
      <c r="AD34" s="2324"/>
      <c r="AE34" s="2324"/>
      <c r="AF34" s="1852">
        <v>19</v>
      </c>
    </row>
    <row customHeight="1" ht="60">
      <c r="D35" s="2330"/>
      <c r="E35" s="2367" t="s">
        <v>819</v>
      </c>
      <c r="F35" s="1646" t="s">
        <v>820</v>
      </c>
      <c r="G35" s="2346" t="s">
        <v>626</v>
      </c>
      <c r="H35" s="2368"/>
      <c r="I35" s="2368"/>
      <c r="J35" s="981" t="s">
        <v>821</v>
      </c>
      <c r="K35" s="1235"/>
      <c r="AF35" s="2323">
        <v>57</v>
      </c>
    </row>
    <row s="62148" customFormat="1" customHeight="1" ht="24">
      <c r="A36" s="1681" t="s">
        <v>652</v>
      </c>
      <c r="C36" s="2328"/>
      <c r="D36" s="2330"/>
      <c r="E36" s="2356" t="s">
        <v>91</v>
      </c>
      <c r="F36" s="1399" t="s">
        <v>822</v>
      </c>
      <c r="G36" s="2335" t="s">
        <v>626</v>
      </c>
      <c r="H36" s="1249"/>
      <c r="I36" s="1249"/>
      <c r="J36" s="981" t="s">
        <v>823</v>
      </c>
      <c r="K36" s="1235"/>
      <c r="L36" s="2328"/>
      <c r="M36" s="2328"/>
      <c r="R36" s="2328"/>
      <c r="U36" s="1236"/>
      <c r="AA36" s="2324"/>
      <c r="AB36" s="2324"/>
      <c r="AC36" s="2324"/>
      <c r="AD36" s="2324"/>
      <c r="AE36" s="2324"/>
      <c r="AF36" s="1852">
        <v>23</v>
      </c>
    </row>
    <row s="62148" customFormat="1" customHeight="1" ht="35.699999999999996">
      <c r="A37" s="1681"/>
      <c r="C37" s="2328"/>
      <c r="D37" s="2330"/>
      <c r="E37" s="2356" t="s">
        <v>399</v>
      </c>
      <c r="F37" s="1646" t="s">
        <v>824</v>
      </c>
      <c r="G37" s="2346"/>
      <c r="H37" s="1249"/>
      <c r="I37" s="1249"/>
      <c r="J37" s="981"/>
      <c r="K37" s="1235"/>
      <c r="L37" s="2328"/>
      <c r="M37" s="2328"/>
      <c r="R37" s="2328"/>
      <c r="U37" s="1236"/>
      <c r="AA37" s="2324"/>
      <c r="AB37" s="2324"/>
      <c r="AC37" s="2324"/>
      <c r="AD37" s="2324"/>
      <c r="AE37" s="2324"/>
      <c r="AF37" s="1852">
        <v>34</v>
      </c>
    </row>
    <row s="62148" customFormat="1" customHeight="1" ht="19.95">
      <c r="A38" s="1679"/>
      <c r="C38" s="2328"/>
      <c r="D38" s="1267"/>
      <c r="E38" s="2356" t="s">
        <v>92</v>
      </c>
      <c r="F38" s="1399" t="s">
        <v>825</v>
      </c>
      <c r="G38" s="2335" t="s">
        <v>626</v>
      </c>
      <c r="H38" s="1249"/>
      <c r="I38" s="1249"/>
      <c r="J38" s="981" t="s">
        <v>826</v>
      </c>
      <c r="K38" s="1235"/>
      <c r="L38" s="2328"/>
      <c r="M38" s="2328"/>
      <c r="R38" s="2328"/>
      <c r="U38" s="1236"/>
      <c r="AA38" s="2324"/>
      <c r="AB38" s="2324"/>
      <c r="AC38" s="2324"/>
      <c r="AD38" s="2324"/>
      <c r="AE38" s="2324"/>
      <c r="AF38" s="1852">
        <v>19</v>
      </c>
    </row>
    <row s="62148" customFormat="1" customHeight="1" ht="24">
      <c r="A39" s="1679"/>
      <c r="C39" s="2328"/>
      <c r="D39" s="1267"/>
      <c r="E39" s="2356" t="s">
        <v>827</v>
      </c>
      <c r="F39" s="1646" t="s">
        <v>828</v>
      </c>
      <c r="G39" s="2346" t="s">
        <v>626</v>
      </c>
      <c r="H39" s="1249"/>
      <c r="I39" s="1249"/>
      <c r="J39" s="981" t="s">
        <v>829</v>
      </c>
      <c r="K39" s="1235"/>
      <c r="L39" s="2328"/>
      <c r="M39" s="2328"/>
      <c r="R39" s="2328"/>
      <c r="U39" s="1236"/>
      <c r="AA39" s="2324"/>
      <c r="AB39" s="2324"/>
      <c r="AC39" s="2324"/>
      <c r="AD39" s="2324"/>
      <c r="AE39" s="2324"/>
      <c r="AF39" s="1852">
        <v>23</v>
      </c>
    </row>
    <row s="62148" customFormat="1" customHeight="1" ht="24">
      <c r="A40" s="1679"/>
      <c r="C40" s="2328"/>
      <c r="D40" s="2330"/>
      <c r="E40" s="2356" t="s">
        <v>830</v>
      </c>
      <c r="F40" s="2342" t="s">
        <v>831</v>
      </c>
      <c r="G40" s="2335" t="s">
        <v>626</v>
      </c>
      <c r="H40" s="1249"/>
      <c r="I40" s="1249"/>
      <c r="J40" s="981" t="s">
        <v>832</v>
      </c>
      <c r="K40" s="1235"/>
      <c r="L40" s="2328"/>
      <c r="M40" s="2328"/>
      <c r="R40" s="2328"/>
      <c r="U40" s="1236"/>
      <c r="AA40" s="2324"/>
      <c r="AB40" s="2324"/>
      <c r="AC40" s="2324"/>
      <c r="AD40" s="2324"/>
      <c r="AE40" s="2324"/>
      <c r="AF40" s="1852">
        <v>23</v>
      </c>
    </row>
    <row s="62148" customFormat="1" customHeight="1" ht="24">
      <c r="A41" s="1679"/>
      <c r="C41" s="2328"/>
      <c r="D41" s="2330"/>
      <c r="E41" s="2356" t="s">
        <v>833</v>
      </c>
      <c r="F41" s="2342" t="s">
        <v>834</v>
      </c>
      <c r="G41" s="2335" t="s">
        <v>626</v>
      </c>
      <c r="H41" s="1249"/>
      <c r="I41" s="1249"/>
      <c r="J41" s="981" t="s">
        <v>835</v>
      </c>
      <c r="K41" s="1235"/>
      <c r="L41" s="2328"/>
      <c r="M41" s="2328"/>
      <c r="R41" s="2328"/>
      <c r="U41" s="1236"/>
      <c r="AA41" s="2324"/>
      <c r="AB41" s="2324"/>
      <c r="AC41" s="2324"/>
      <c r="AD41" s="2324"/>
      <c r="AE41" s="2324"/>
      <c r="AF41" s="1852">
        <v>23</v>
      </c>
    </row>
    <row s="62148" customFormat="1" customHeight="1" ht="24">
      <c r="A42" s="1679"/>
      <c r="C42" s="2328"/>
      <c r="D42" s="2330"/>
      <c r="E42" s="2356" t="s">
        <v>836</v>
      </c>
      <c r="F42" s="2342" t="s">
        <v>837</v>
      </c>
      <c r="G42" s="2335" t="s">
        <v>626</v>
      </c>
      <c r="H42" s="1249"/>
      <c r="I42" s="1249"/>
      <c r="J42" s="981" t="s">
        <v>838</v>
      </c>
      <c r="K42" s="1235"/>
      <c r="L42" s="2328"/>
      <c r="M42" s="2328"/>
      <c r="R42" s="2328"/>
      <c r="U42" s="1236"/>
      <c r="AA42" s="2324"/>
      <c r="AB42" s="2324"/>
      <c r="AC42" s="2324"/>
      <c r="AD42" s="2324"/>
      <c r="AE42" s="2324"/>
      <c r="AF42" s="1852">
        <v>23</v>
      </c>
    </row>
    <row s="62148" customFormat="1" customHeight="1" ht="35.699999999999996">
      <c r="A43" s="1679"/>
      <c r="C43" s="2328" t="s">
        <v>662</v>
      </c>
      <c r="D43" s="2330"/>
      <c r="E43" s="2356" t="s">
        <v>119</v>
      </c>
      <c r="F43" s="1399" t="s">
        <v>703</v>
      </c>
      <c r="G43" s="2338" t="s">
        <v>839</v>
      </c>
      <c r="H43" s="1093"/>
      <c r="I43" s="1093"/>
      <c r="J43" s="981" t="s">
        <v>840</v>
      </c>
      <c r="K43" s="1235"/>
      <c r="L43" s="2328"/>
      <c r="M43" s="2328"/>
      <c r="R43" s="2328"/>
      <c r="U43" s="1236"/>
      <c r="AA43" s="2324"/>
      <c r="AB43" s="2324"/>
      <c r="AC43" s="2324"/>
      <c r="AD43" s="2324"/>
      <c r="AE43" s="2324"/>
      <c r="AF43" s="1852">
        <v>34</v>
      </c>
    </row>
    <row s="62148" customFormat="1" customHeight="1" ht="35.699999999999996">
      <c r="A44" s="1679"/>
      <c r="C44" s="2328"/>
      <c r="D44" s="2330"/>
      <c r="E44" s="2356" t="s">
        <v>93</v>
      </c>
      <c r="F44" s="1399" t="s">
        <v>841</v>
      </c>
      <c r="G44" s="2335" t="s">
        <v>842</v>
      </c>
      <c r="H44" s="1237"/>
      <c r="I44" s="1237"/>
      <c r="J44" s="981" t="s">
        <v>843</v>
      </c>
      <c r="K44" s="1235"/>
      <c r="L44" s="2328"/>
      <c r="M44" s="2328"/>
      <c r="R44" s="2328"/>
      <c r="U44" s="1236"/>
      <c r="AA44" s="2324"/>
      <c r="AB44" s="2324"/>
      <c r="AC44" s="2324"/>
      <c r="AD44" s="2324"/>
      <c r="AE44" s="2324"/>
      <c r="AF44" s="1852">
        <v>34</v>
      </c>
    </row>
    <row s="62148" customFormat="1" customHeight="1" ht="24">
      <c r="A45" s="1679"/>
      <c r="C45" s="2328"/>
      <c r="D45" s="2330"/>
      <c r="E45" s="2356" t="s">
        <v>94</v>
      </c>
      <c r="F45" s="1399" t="s">
        <v>844</v>
      </c>
      <c r="G45" s="2346" t="s">
        <v>845</v>
      </c>
      <c r="H45" s="1237"/>
      <c r="I45" s="1237"/>
      <c r="J45" s="981" t="s">
        <v>846</v>
      </c>
      <c r="K45" s="1235"/>
      <c r="L45" s="2328"/>
      <c r="M45" s="2328"/>
      <c r="R45" s="2328"/>
      <c r="U45" s="1236"/>
      <c r="AA45" s="2324"/>
      <c r="AB45" s="2324"/>
      <c r="AC45" s="2324"/>
      <c r="AD45" s="2324"/>
      <c r="AE45" s="2324"/>
      <c r="AF45" s="1852">
        <v>23</v>
      </c>
    </row>
    <row s="62148" customFormat="1" customHeight="1" ht="19.95">
      <c r="A46" s="1679"/>
      <c r="C46" s="2328"/>
      <c r="D46" s="2330"/>
      <c r="E46" s="2356" t="s">
        <v>120</v>
      </c>
      <c r="F46" s="1399" t="s">
        <v>847</v>
      </c>
      <c r="G46" s="2335" t="s">
        <v>664</v>
      </c>
      <c r="H46" s="1269"/>
      <c r="I46" s="1269"/>
      <c r="J46" s="981"/>
      <c r="K46" s="1235"/>
      <c r="L46" s="2328"/>
      <c r="M46" s="2328"/>
      <c r="R46" s="2328"/>
      <c r="U46" s="1236"/>
      <c r="AA46" s="2324"/>
      <c r="AB46" s="2324"/>
      <c r="AC46" s="2324"/>
      <c r="AD46" s="2324"/>
      <c r="AE46" s="2324"/>
      <c r="AF46" s="1852">
        <v>19</v>
      </c>
    </row>
    <row customHeight="1" ht="11.549999999999999">
      <c r="D47" s="2330"/>
      <c r="AF47" s="2323">
        <v>11</v>
      </c>
    </row>
    <row s="61193" customFormat="1" customHeight="1" ht="11.549999999999999">
      <c r="A48" s="1679"/>
      <c r="B48" s="2328"/>
      <c r="C48" s="2328"/>
      <c r="D48" s="1043"/>
      <c r="K48" s="1852"/>
      <c r="L48" s="2328"/>
      <c r="M48" s="2328"/>
      <c r="N48" s="1852"/>
      <c r="O48" s="1852"/>
      <c r="P48" s="1852"/>
      <c r="Q48" s="1852"/>
      <c r="R48" s="2328"/>
      <c r="S48" s="1852"/>
      <c r="T48" s="1852"/>
      <c r="U48" s="1236"/>
      <c r="V48" s="1852"/>
      <c r="W48" s="1852"/>
      <c r="X48" s="1852"/>
      <c r="Y48" s="1852"/>
      <c r="Z48" s="1852"/>
      <c r="AA48" s="2324"/>
      <c r="AB48" s="1258"/>
      <c r="AC48" s="1258"/>
      <c r="AD48" s="1258"/>
      <c r="AE48" s="1258"/>
      <c r="AF48" s="2333">
        <v>11</v>
      </c>
    </row>
    <row s="61193" customFormat="1" customHeight="1" ht="11.549999999999999">
      <c r="A49" s="1679"/>
      <c r="B49" s="2328"/>
      <c r="C49" s="2328"/>
      <c r="D49" s="1043"/>
      <c r="K49" s="1852"/>
      <c r="L49" s="2328"/>
      <c r="M49" s="2328"/>
      <c r="N49" s="1852"/>
      <c r="O49" s="1852"/>
      <c r="P49" s="1852"/>
      <c r="Q49" s="1852"/>
      <c r="R49" s="2328"/>
      <c r="S49" s="1852"/>
      <c r="T49" s="1852"/>
      <c r="U49" s="1236"/>
      <c r="V49" s="1852"/>
      <c r="W49" s="1852"/>
      <c r="X49" s="1852"/>
      <c r="Y49" s="1852"/>
      <c r="Z49" s="1852"/>
      <c r="AA49" s="2324"/>
      <c r="AB49" s="1258"/>
      <c r="AC49" s="1258"/>
      <c r="AD49" s="1258"/>
      <c r="AE49" s="1258"/>
      <c r="AF49" s="2333">
        <v>11</v>
      </c>
    </row>
    <row s="61193" customFormat="1" customHeight="1" ht="11.549999999999999">
      <c r="A50" s="1679"/>
      <c r="B50" s="2328"/>
      <c r="C50" s="2328"/>
      <c r="D50" s="1043"/>
      <c r="H50" s="1258"/>
      <c r="I50" s="1258"/>
      <c r="K50" s="1852"/>
      <c r="L50" s="2328"/>
      <c r="M50" s="2328"/>
      <c r="N50" s="1852"/>
      <c r="O50" s="1852"/>
      <c r="P50" s="1852"/>
      <c r="Q50" s="1852"/>
      <c r="R50" s="2328"/>
      <c r="S50" s="1852"/>
      <c r="T50" s="1852"/>
      <c r="U50" s="1236"/>
      <c r="V50" s="1852"/>
      <c r="W50" s="1852"/>
      <c r="X50" s="1852"/>
      <c r="Y50" s="1852"/>
      <c r="Z50" s="1852"/>
      <c r="AA50" s="2324"/>
      <c r="AB50" s="1258"/>
      <c r="AC50" s="1258"/>
      <c r="AD50" s="1258"/>
      <c r="AE50" s="1258"/>
      <c r="AF50" s="2333">
        <v>11</v>
      </c>
    </row>
    <row s="61193" customFormat="1" customHeight="1" ht="11.549999999999999">
      <c r="A51" s="1679"/>
      <c r="B51" s="2328"/>
      <c r="C51" s="2328"/>
      <c r="D51" s="1043"/>
      <c r="K51" s="1852"/>
      <c r="L51" s="2328"/>
      <c r="M51" s="2328"/>
      <c r="N51" s="1852"/>
      <c r="O51" s="1852"/>
      <c r="P51" s="1852"/>
      <c r="Q51" s="1852"/>
      <c r="R51" s="2328"/>
      <c r="S51" s="1852"/>
      <c r="T51" s="1852"/>
      <c r="U51" s="1236"/>
      <c r="V51" s="1852"/>
      <c r="W51" s="1852"/>
      <c r="X51" s="1852"/>
      <c r="Y51" s="1852"/>
      <c r="Z51" s="1852"/>
      <c r="AA51" s="2324"/>
      <c r="AB51" s="1258"/>
      <c r="AC51" s="1258"/>
      <c r="AD51" s="1258"/>
      <c r="AE51" s="1258"/>
      <c r="AF51" s="2333">
        <v>11</v>
      </c>
    </row>
    <row s="61193" customFormat="1" customHeight="1" ht="11.549999999999999">
      <c r="A52" s="1679"/>
      <c r="B52" s="2328"/>
      <c r="C52" s="2328"/>
      <c r="D52" s="1043"/>
      <c r="K52" s="1852"/>
      <c r="L52" s="2328"/>
      <c r="M52" s="2328"/>
      <c r="N52" s="1852"/>
      <c r="O52" s="1852"/>
      <c r="P52" s="1852"/>
      <c r="Q52" s="1852"/>
      <c r="R52" s="2328"/>
      <c r="S52" s="1852"/>
      <c r="T52" s="1852"/>
      <c r="U52" s="1236"/>
      <c r="V52" s="1852"/>
      <c r="W52" s="1852"/>
      <c r="X52" s="1852"/>
      <c r="Y52" s="1852"/>
      <c r="Z52" s="1852"/>
      <c r="AA52" s="2324"/>
      <c r="AB52" s="1258"/>
      <c r="AC52" s="1258"/>
      <c r="AD52" s="1258"/>
      <c r="AE52" s="1258"/>
      <c r="AF52" s="2333">
        <v>11</v>
      </c>
    </row>
    <row s="61193" customFormat="1" customHeight="1" ht="11.549999999999999">
      <c r="A53" s="1679"/>
      <c r="B53" s="2328"/>
      <c r="C53" s="2328"/>
      <c r="D53" s="1043"/>
      <c r="K53" s="1852"/>
      <c r="L53" s="2328"/>
      <c r="M53" s="2328"/>
      <c r="N53" s="1852"/>
      <c r="O53" s="1852"/>
      <c r="P53" s="1852"/>
      <c r="Q53" s="1852"/>
      <c r="R53" s="2328"/>
      <c r="S53" s="1852"/>
      <c r="T53" s="1852"/>
      <c r="U53" s="1236"/>
      <c r="V53" s="1852"/>
      <c r="W53" s="1852"/>
      <c r="X53" s="1852"/>
      <c r="Y53" s="1852"/>
      <c r="Z53" s="1852"/>
      <c r="AA53" s="2324"/>
      <c r="AB53" s="1258"/>
      <c r="AC53" s="1258"/>
      <c r="AD53" s="1258"/>
      <c r="AE53" s="1258"/>
      <c r="AF53" s="2333">
        <v>11</v>
      </c>
    </row>
    <row s="61193" customFormat="1" customHeight="1" ht="11.549999999999999">
      <c r="A54" s="1679"/>
      <c r="B54" s="2328"/>
      <c r="C54" s="2328"/>
      <c r="D54" s="1043"/>
      <c r="K54" s="1852"/>
      <c r="L54" s="2328"/>
      <c r="M54" s="2328"/>
      <c r="N54" s="1852"/>
      <c r="O54" s="1852"/>
      <c r="P54" s="1852"/>
      <c r="Q54" s="1852"/>
      <c r="R54" s="2328"/>
      <c r="S54" s="1852"/>
      <c r="T54" s="1852"/>
      <c r="U54" s="1236"/>
      <c r="V54" s="1852"/>
      <c r="W54" s="1852"/>
      <c r="X54" s="1852"/>
      <c r="Y54" s="1852"/>
      <c r="Z54" s="1852"/>
      <c r="AA54" s="2324"/>
      <c r="AB54" s="1258"/>
      <c r="AC54" s="1258"/>
      <c r="AD54" s="1258"/>
      <c r="AE54" s="1258"/>
      <c r="AF54" s="2333">
        <v>11</v>
      </c>
    </row>
    <row s="61193" customFormat="1" customHeight="1" ht="11.549999999999999">
      <c r="A55" s="1679"/>
      <c r="B55" s="2328"/>
      <c r="C55" s="2328"/>
      <c r="D55" s="1043"/>
      <c r="K55" s="1852"/>
      <c r="L55" s="2328"/>
      <c r="M55" s="2328"/>
      <c r="N55" s="1852"/>
      <c r="O55" s="1852"/>
      <c r="P55" s="1852"/>
      <c r="Q55" s="1852"/>
      <c r="R55" s="2328"/>
      <c r="S55" s="1852"/>
      <c r="T55" s="1852"/>
      <c r="U55" s="1236"/>
      <c r="V55" s="1852"/>
      <c r="W55" s="1852"/>
      <c r="X55" s="1852"/>
      <c r="Y55" s="1852"/>
      <c r="Z55" s="1852"/>
      <c r="AA55" s="2324"/>
      <c r="AB55" s="1258"/>
      <c r="AC55" s="1258"/>
      <c r="AD55" s="1258"/>
      <c r="AE55" s="1258"/>
      <c r="AF55" s="2333">
        <v>11</v>
      </c>
    </row>
    <row s="61193" customFormat="1" customHeight="1" ht="11.549999999999999">
      <c r="A56" s="1679"/>
      <c r="B56" s="2328"/>
      <c r="C56" s="2328"/>
      <c r="D56" s="1043"/>
      <c r="K56" s="1852"/>
      <c r="L56" s="2328"/>
      <c r="M56" s="2328"/>
      <c r="N56" s="1852"/>
      <c r="O56" s="1852"/>
      <c r="P56" s="1852"/>
      <c r="Q56" s="1852"/>
      <c r="R56" s="2328"/>
      <c r="S56" s="1852"/>
      <c r="T56" s="1852"/>
      <c r="U56" s="1236"/>
      <c r="V56" s="1852"/>
      <c r="W56" s="1852"/>
      <c r="X56" s="1852"/>
      <c r="Y56" s="1852"/>
      <c r="Z56" s="1852"/>
      <c r="AA56" s="2324"/>
      <c r="AB56" s="1258"/>
      <c r="AC56" s="1258"/>
      <c r="AD56" s="1258"/>
      <c r="AE56" s="1258"/>
      <c r="AF56" s="2333">
        <v>11</v>
      </c>
    </row>
    <row s="61193" customFormat="1" customHeight="1" ht="11.549999999999999">
      <c r="A57" s="1679"/>
      <c r="B57" s="2328"/>
      <c r="C57" s="2328"/>
      <c r="D57" s="1043"/>
      <c r="K57" s="1852"/>
      <c r="L57" s="2328"/>
      <c r="M57" s="2328"/>
      <c r="N57" s="1852"/>
      <c r="O57" s="1852"/>
      <c r="P57" s="1852"/>
      <c r="Q57" s="1852"/>
      <c r="R57" s="2328"/>
      <c r="S57" s="1852"/>
      <c r="T57" s="1852"/>
      <c r="U57" s="1236"/>
      <c r="V57" s="1852"/>
      <c r="W57" s="1852"/>
      <c r="X57" s="1852"/>
      <c r="Y57" s="1852"/>
      <c r="Z57" s="1852"/>
      <c r="AA57" s="2324"/>
      <c r="AB57" s="1258"/>
      <c r="AC57" s="1258"/>
      <c r="AD57" s="1258"/>
      <c r="AE57" s="1258"/>
      <c r="AF57" s="2333">
        <v>11</v>
      </c>
    </row>
    <row s="61193" customFormat="1" customHeight="1" ht="11.549999999999999">
      <c r="A58" s="1679"/>
      <c r="B58" s="2328"/>
      <c r="C58" s="2328"/>
      <c r="D58" s="1043"/>
      <c r="K58" s="1852"/>
      <c r="L58" s="2328"/>
      <c r="M58" s="2328"/>
      <c r="N58" s="1852"/>
      <c r="O58" s="1852"/>
      <c r="P58" s="1852"/>
      <c r="Q58" s="1852"/>
      <c r="R58" s="2328"/>
      <c r="S58" s="1852"/>
      <c r="T58" s="1852"/>
      <c r="U58" s="1236"/>
      <c r="V58" s="1852"/>
      <c r="W58" s="1852"/>
      <c r="X58" s="1852"/>
      <c r="Y58" s="1852"/>
      <c r="Z58" s="1852"/>
      <c r="AA58" s="2324"/>
      <c r="AB58" s="1258"/>
      <c r="AC58" s="1258"/>
      <c r="AD58" s="1258"/>
      <c r="AE58" s="1258"/>
      <c r="AF58" s="2333">
        <v>11</v>
      </c>
    </row>
    <row s="61193" customFormat="1" customHeight="1" ht="11.549999999999999">
      <c r="A59" s="1679"/>
      <c r="B59" s="2328"/>
      <c r="C59" s="2328"/>
      <c r="D59" s="1043"/>
      <c r="K59" s="1852"/>
      <c r="L59" s="2328"/>
      <c r="M59" s="2328"/>
      <c r="N59" s="1852"/>
      <c r="O59" s="1852"/>
      <c r="P59" s="1852"/>
      <c r="Q59" s="1852"/>
      <c r="R59" s="2328"/>
      <c r="S59" s="1852"/>
      <c r="T59" s="1852"/>
      <c r="U59" s="1236"/>
      <c r="V59" s="1852"/>
      <c r="W59" s="1852"/>
      <c r="X59" s="1852"/>
      <c r="Y59" s="1852"/>
      <c r="Z59" s="1852"/>
      <c r="AA59" s="2324"/>
      <c r="AB59" s="1258"/>
      <c r="AC59" s="1258"/>
      <c r="AD59" s="1258"/>
      <c r="AE59" s="1258"/>
      <c r="AF59" s="2333">
        <v>11</v>
      </c>
    </row>
    <row s="61193" customFormat="1" customHeight="1" ht="11.549999999999999">
      <c r="A60" s="1679"/>
      <c r="B60" s="2328"/>
      <c r="C60" s="2328"/>
      <c r="D60" s="1043"/>
      <c r="K60" s="1852"/>
      <c r="L60" s="2328"/>
      <c r="M60" s="2328"/>
      <c r="N60" s="1852"/>
      <c r="O60" s="1852"/>
      <c r="P60" s="1852"/>
      <c r="Q60" s="1852"/>
      <c r="R60" s="2328"/>
      <c r="S60" s="1852"/>
      <c r="T60" s="1852"/>
      <c r="U60" s="1236"/>
      <c r="V60" s="1852"/>
      <c r="W60" s="1852"/>
      <c r="X60" s="1852"/>
      <c r="Y60" s="1852"/>
      <c r="Z60" s="1852"/>
      <c r="AA60" s="2324"/>
      <c r="AB60" s="1258"/>
      <c r="AC60" s="1258"/>
      <c r="AD60" s="1258"/>
      <c r="AE60" s="1258"/>
      <c r="AF60" s="2333">
        <v>11</v>
      </c>
    </row>
    <row s="61193" customFormat="1" customHeight="1" ht="11.549999999999999">
      <c r="A61" s="1679"/>
      <c r="B61" s="2328"/>
      <c r="C61" s="2328"/>
      <c r="D61" s="1043"/>
      <c r="K61" s="1852"/>
      <c r="L61" s="2328"/>
      <c r="M61" s="2328"/>
      <c r="N61" s="1852"/>
      <c r="O61" s="1852"/>
      <c r="P61" s="1852"/>
      <c r="Q61" s="1852"/>
      <c r="R61" s="2328"/>
      <c r="S61" s="1852"/>
      <c r="T61" s="1852"/>
      <c r="U61" s="1236"/>
      <c r="V61" s="1852"/>
      <c r="W61" s="1852"/>
      <c r="X61" s="1852"/>
      <c r="Y61" s="1852"/>
      <c r="Z61" s="1852"/>
      <c r="AA61" s="2324"/>
      <c r="AB61" s="1258"/>
      <c r="AC61" s="1258"/>
      <c r="AD61" s="1258"/>
      <c r="AE61" s="1258"/>
      <c r="AF61" s="2333">
        <v>11</v>
      </c>
    </row>
    <row s="61193" customFormat="1" customHeight="1" ht="11.549999999999999">
      <c r="A62" s="1679"/>
      <c r="B62" s="2328"/>
      <c r="C62" s="2328"/>
      <c r="D62" s="1043"/>
      <c r="K62" s="1852"/>
      <c r="L62" s="2328"/>
      <c r="M62" s="2328"/>
      <c r="N62" s="1852"/>
      <c r="O62" s="1852"/>
      <c r="P62" s="1852"/>
      <c r="Q62" s="1852"/>
      <c r="R62" s="2328"/>
      <c r="S62" s="1852"/>
      <c r="T62" s="1852"/>
      <c r="U62" s="1236"/>
      <c r="V62" s="1852"/>
      <c r="W62" s="1852"/>
      <c r="X62" s="1852"/>
      <c r="Y62" s="1852"/>
      <c r="Z62" s="1852"/>
      <c r="AA62" s="2324"/>
      <c r="AB62" s="1258"/>
      <c r="AC62" s="1258"/>
      <c r="AD62" s="1258"/>
      <c r="AE62" s="1258"/>
      <c r="AF62" s="2333">
        <v>11</v>
      </c>
    </row>
    <row s="61193" customFormat="1" customHeight="1" ht="11.549999999999999">
      <c r="A63" s="1679"/>
      <c r="B63" s="2328"/>
      <c r="C63" s="2328"/>
      <c r="D63" s="1043"/>
      <c r="K63" s="1852"/>
      <c r="L63" s="2328"/>
      <c r="M63" s="2328"/>
      <c r="N63" s="1852"/>
      <c r="O63" s="1852"/>
      <c r="P63" s="1852"/>
      <c r="Q63" s="1852"/>
      <c r="R63" s="2328"/>
      <c r="S63" s="1852"/>
      <c r="T63" s="1852"/>
      <c r="U63" s="1236"/>
      <c r="V63" s="1852"/>
      <c r="W63" s="1852"/>
      <c r="X63" s="1852"/>
      <c r="Y63" s="1852"/>
      <c r="Z63" s="1852"/>
      <c r="AA63" s="2324"/>
      <c r="AB63" s="1258"/>
      <c r="AC63" s="1258"/>
      <c r="AD63" s="1258"/>
      <c r="AE63" s="1258"/>
      <c r="AF63" s="2333">
        <v>11</v>
      </c>
    </row>
    <row s="61193" customFormat="1" customHeight="1" ht="11.549999999999999">
      <c r="A64" s="1679"/>
      <c r="B64" s="2328"/>
      <c r="C64" s="2328"/>
      <c r="D64" s="1043"/>
      <c r="K64" s="1852"/>
      <c r="L64" s="2328"/>
      <c r="M64" s="2328"/>
      <c r="N64" s="1852"/>
      <c r="O64" s="1852"/>
      <c r="P64" s="1852"/>
      <c r="Q64" s="1852"/>
      <c r="R64" s="2328"/>
      <c r="S64" s="1852"/>
      <c r="T64" s="1852"/>
      <c r="U64" s="1236"/>
      <c r="V64" s="1852"/>
      <c r="W64" s="1852"/>
      <c r="X64" s="1852"/>
      <c r="Y64" s="1852"/>
      <c r="Z64" s="1852"/>
      <c r="AA64" s="2324"/>
      <c r="AB64" s="1258"/>
      <c r="AC64" s="1258"/>
      <c r="AD64" s="1258"/>
      <c r="AE64" s="1258"/>
      <c r="AF64" s="2333">
        <v>11</v>
      </c>
    </row>
    <row s="61193" customFormat="1" customHeight="1" ht="11.549999999999999">
      <c r="A65" s="1679"/>
      <c r="B65" s="2328"/>
      <c r="C65" s="2328"/>
      <c r="D65" s="1043"/>
      <c r="K65" s="1852"/>
      <c r="L65" s="2328"/>
      <c r="M65" s="2328"/>
      <c r="N65" s="1852"/>
      <c r="O65" s="1852"/>
      <c r="P65" s="1852"/>
      <c r="Q65" s="1852"/>
      <c r="R65" s="2328"/>
      <c r="S65" s="1852"/>
      <c r="T65" s="1852"/>
      <c r="U65" s="1236"/>
      <c r="V65" s="1852"/>
      <c r="W65" s="1852"/>
      <c r="X65" s="1852"/>
      <c r="Y65" s="1852"/>
      <c r="Z65" s="1852"/>
      <c r="AA65" s="2324"/>
      <c r="AB65" s="1258"/>
      <c r="AC65" s="1258"/>
      <c r="AD65" s="1258"/>
      <c r="AE65" s="1258"/>
      <c r="AF65" s="2333">
        <v>11</v>
      </c>
    </row>
    <row s="61193" customFormat="1" customHeight="1" ht="11.549999999999999">
      <c r="A66" s="1679"/>
      <c r="B66" s="2328"/>
      <c r="C66" s="2328"/>
      <c r="D66" s="1043"/>
      <c r="K66" s="1852"/>
      <c r="L66" s="2328"/>
      <c r="M66" s="2328"/>
      <c r="N66" s="1852"/>
      <c r="O66" s="1852"/>
      <c r="P66" s="1852"/>
      <c r="Q66" s="1852"/>
      <c r="R66" s="2328"/>
      <c r="S66" s="1852"/>
      <c r="T66" s="1852"/>
      <c r="U66" s="1236"/>
      <c r="V66" s="1852"/>
      <c r="W66" s="1852"/>
      <c r="X66" s="1852"/>
      <c r="Y66" s="1852"/>
      <c r="Z66" s="1852"/>
      <c r="AA66" s="2324"/>
      <c r="AB66" s="1258"/>
      <c r="AC66" s="1258"/>
      <c r="AD66" s="1258"/>
      <c r="AE66" s="1258"/>
      <c r="AF66" s="2333">
        <v>11</v>
      </c>
    </row>
    <row s="61193" customFormat="1" customHeight="1" ht="11.549999999999999">
      <c r="A67" s="1679"/>
      <c r="B67" s="2328"/>
      <c r="C67" s="2328"/>
      <c r="D67" s="1043"/>
      <c r="K67" s="1852"/>
      <c r="L67" s="2328"/>
      <c r="M67" s="2328"/>
      <c r="N67" s="1852"/>
      <c r="O67" s="1852"/>
      <c r="P67" s="1852"/>
      <c r="Q67" s="1852"/>
      <c r="R67" s="2328"/>
      <c r="S67" s="1852"/>
      <c r="T67" s="1852"/>
      <c r="U67" s="1236"/>
      <c r="V67" s="1852"/>
      <c r="W67" s="1852"/>
      <c r="X67" s="1852"/>
      <c r="Y67" s="1852"/>
      <c r="Z67" s="1852"/>
      <c r="AA67" s="2324"/>
      <c r="AB67" s="1258"/>
      <c r="AC67" s="1258"/>
      <c r="AD67" s="1258"/>
      <c r="AE67" s="1258"/>
      <c r="AF67" s="2333">
        <v>11</v>
      </c>
    </row>
    <row s="61193" customFormat="1" customHeight="1" ht="11.549999999999999">
      <c r="A68" s="1679"/>
      <c r="B68" s="2328"/>
      <c r="C68" s="2328"/>
      <c r="D68" s="1043"/>
      <c r="K68" s="1852"/>
      <c r="L68" s="2328"/>
      <c r="M68" s="2328"/>
      <c r="N68" s="1852"/>
      <c r="O68" s="1852"/>
      <c r="P68" s="1852"/>
      <c r="Q68" s="1852"/>
      <c r="R68" s="2328"/>
      <c r="S68" s="1852"/>
      <c r="T68" s="1852"/>
      <c r="U68" s="1236"/>
      <c r="V68" s="1852"/>
      <c r="W68" s="1852"/>
      <c r="X68" s="1852"/>
      <c r="Y68" s="1852"/>
      <c r="Z68" s="1852"/>
      <c r="AA68" s="2324"/>
      <c r="AB68" s="1258"/>
      <c r="AC68" s="1258"/>
      <c r="AD68" s="1258"/>
      <c r="AE68" s="1258"/>
      <c r="AF68" s="2333">
        <v>11</v>
      </c>
    </row>
    <row s="61193" customFormat="1" customHeight="1" ht="11.549999999999999">
      <c r="A69" s="1679"/>
      <c r="B69" s="2328"/>
      <c r="C69" s="2328"/>
      <c r="D69" s="1043"/>
      <c r="K69" s="1852"/>
      <c r="L69" s="2328"/>
      <c r="M69" s="2328"/>
      <c r="N69" s="1852"/>
      <c r="O69" s="1852"/>
      <c r="P69" s="1852"/>
      <c r="Q69" s="1852"/>
      <c r="R69" s="2328"/>
      <c r="S69" s="1852"/>
      <c r="T69" s="1852"/>
      <c r="U69" s="1236"/>
      <c r="V69" s="1852"/>
      <c r="W69" s="1852"/>
      <c r="X69" s="1852"/>
      <c r="Y69" s="1852"/>
      <c r="Z69" s="1852"/>
      <c r="AA69" s="2324"/>
      <c r="AB69" s="1258"/>
      <c r="AC69" s="1258"/>
      <c r="AD69" s="1258"/>
      <c r="AE69" s="1258"/>
      <c r="AF69" s="2333">
        <v>11</v>
      </c>
    </row>
    <row s="61193" customFormat="1" customHeight="1" ht="11.549999999999999">
      <c r="A70" s="1679"/>
      <c r="B70" s="2328"/>
      <c r="C70" s="2328"/>
      <c r="D70" s="1043"/>
      <c r="K70" s="1852"/>
      <c r="L70" s="2328"/>
      <c r="M70" s="2328"/>
      <c r="N70" s="1852"/>
      <c r="O70" s="1852"/>
      <c r="P70" s="1852"/>
      <c r="Q70" s="1852"/>
      <c r="R70" s="2328"/>
      <c r="S70" s="1852"/>
      <c r="T70" s="1852"/>
      <c r="U70" s="1236"/>
      <c r="V70" s="1852"/>
      <c r="W70" s="1852"/>
      <c r="X70" s="1852"/>
      <c r="Y70" s="1852"/>
      <c r="Z70" s="1852"/>
      <c r="AA70" s="2324"/>
      <c r="AB70" s="1258"/>
      <c r="AC70" s="1258"/>
      <c r="AD70" s="1258"/>
      <c r="AE70" s="1258"/>
      <c r="AF70" s="2333">
        <v>11</v>
      </c>
    </row>
    <row s="61193" customFormat="1" customHeight="1" ht="11.549999999999999">
      <c r="A71" s="1679"/>
      <c r="B71" s="2328"/>
      <c r="C71" s="2328"/>
      <c r="D71" s="1043"/>
      <c r="K71" s="1852"/>
      <c r="L71" s="2328"/>
      <c r="M71" s="2328"/>
      <c r="N71" s="1852"/>
      <c r="O71" s="1852"/>
      <c r="P71" s="1852"/>
      <c r="Q71" s="1852"/>
      <c r="R71" s="2328"/>
      <c r="S71" s="1852"/>
      <c r="T71" s="1852"/>
      <c r="U71" s="1236"/>
      <c r="V71" s="1852"/>
      <c r="W71" s="1852"/>
      <c r="X71" s="1852"/>
      <c r="Y71" s="1852"/>
      <c r="Z71" s="1852"/>
      <c r="AA71" s="2324"/>
      <c r="AB71" s="1258"/>
      <c r="AC71" s="1258"/>
      <c r="AD71" s="1258"/>
      <c r="AE71" s="1258"/>
      <c r="AF71" s="2333">
        <v>11</v>
      </c>
    </row>
    <row s="61193" customFormat="1" customHeight="1" ht="11.549999999999999">
      <c r="A72" s="1679"/>
      <c r="B72" s="2328"/>
      <c r="C72" s="2328"/>
      <c r="D72" s="1043"/>
      <c r="K72" s="1852"/>
      <c r="L72" s="2328"/>
      <c r="M72" s="2328"/>
      <c r="N72" s="1852"/>
      <c r="O72" s="1852"/>
      <c r="P72" s="1852"/>
      <c r="Q72" s="1852"/>
      <c r="R72" s="2328"/>
      <c r="S72" s="1852"/>
      <c r="T72" s="1852"/>
      <c r="U72" s="1236"/>
      <c r="V72" s="1852"/>
      <c r="W72" s="1852"/>
      <c r="X72" s="1852"/>
      <c r="Y72" s="1852"/>
      <c r="Z72" s="1852"/>
      <c r="AA72" s="2324"/>
      <c r="AB72" s="1258"/>
      <c r="AC72" s="1258"/>
      <c r="AD72" s="1258"/>
      <c r="AE72" s="1258"/>
      <c r="AF72" s="2333">
        <v>11</v>
      </c>
    </row>
    <row s="61193" customFormat="1" customHeight="1" ht="11.549999999999999">
      <c r="A73" s="1679"/>
      <c r="B73" s="2328"/>
      <c r="C73" s="2328"/>
      <c r="D73" s="1043"/>
      <c r="K73" s="1852"/>
      <c r="L73" s="2328"/>
      <c r="M73" s="2328"/>
      <c r="N73" s="1852"/>
      <c r="O73" s="1852"/>
      <c r="P73" s="1852"/>
      <c r="Q73" s="1852"/>
      <c r="R73" s="2328"/>
      <c r="S73" s="1852"/>
      <c r="T73" s="1852"/>
      <c r="U73" s="1236"/>
      <c r="V73" s="1852"/>
      <c r="W73" s="1852"/>
      <c r="X73" s="1852"/>
      <c r="Y73" s="1852"/>
      <c r="Z73" s="1852"/>
      <c r="AA73" s="2324"/>
      <c r="AB73" s="1258"/>
      <c r="AC73" s="1258"/>
      <c r="AD73" s="1258"/>
      <c r="AE73" s="1258"/>
      <c r="AF73" s="2333">
        <v>11</v>
      </c>
    </row>
    <row s="61193" customFormat="1" customHeight="1" ht="11.549999999999999">
      <c r="A74" s="1679"/>
      <c r="B74" s="2328"/>
      <c r="C74" s="2328"/>
      <c r="D74" s="1043"/>
      <c r="K74" s="1852"/>
      <c r="L74" s="2328"/>
      <c r="M74" s="2328"/>
      <c r="N74" s="1852"/>
      <c r="O74" s="1852"/>
      <c r="P74" s="1852"/>
      <c r="Q74" s="1852"/>
      <c r="R74" s="2328"/>
      <c r="S74" s="1852"/>
      <c r="T74" s="1852"/>
      <c r="U74" s="1236"/>
      <c r="V74" s="1852"/>
      <c r="W74" s="1852"/>
      <c r="X74" s="1852"/>
      <c r="Y74" s="1852"/>
      <c r="Z74" s="1852"/>
      <c r="AA74" s="2324"/>
      <c r="AB74" s="1258"/>
      <c r="AC74" s="1258"/>
      <c r="AD74" s="1258"/>
      <c r="AE74" s="1258"/>
      <c r="AF74" s="2333">
        <v>11</v>
      </c>
    </row>
    <row s="61193" customFormat="1" customHeight="1" ht="11.549999999999999">
      <c r="A75" s="1679"/>
      <c r="B75" s="2328"/>
      <c r="C75" s="2328"/>
      <c r="D75" s="1043"/>
      <c r="K75" s="1852"/>
      <c r="L75" s="2328"/>
      <c r="M75" s="2328"/>
      <c r="N75" s="1852"/>
      <c r="O75" s="1852"/>
      <c r="P75" s="1852"/>
      <c r="Q75" s="1852"/>
      <c r="R75" s="2328"/>
      <c r="S75" s="1852"/>
      <c r="T75" s="1852"/>
      <c r="U75" s="1236"/>
      <c r="V75" s="1852"/>
      <c r="W75" s="1852"/>
      <c r="X75" s="1852"/>
      <c r="Y75" s="1852"/>
      <c r="Z75" s="1852"/>
      <c r="AA75" s="2324"/>
      <c r="AB75" s="1258"/>
      <c r="AC75" s="1258"/>
      <c r="AD75" s="1258"/>
      <c r="AE75" s="1258"/>
      <c r="AF75" s="2333">
        <v>11</v>
      </c>
    </row>
    <row s="61193" customFormat="1" customHeight="1" ht="11.549999999999999">
      <c r="A76" s="1679"/>
      <c r="B76" s="2328"/>
      <c r="C76" s="2328"/>
      <c r="D76" s="1043"/>
      <c r="K76" s="1852"/>
      <c r="L76" s="2328"/>
      <c r="M76" s="2328"/>
      <c r="N76" s="1852"/>
      <c r="O76" s="1852"/>
      <c r="P76" s="1852"/>
      <c r="Q76" s="1852"/>
      <c r="R76" s="2328"/>
      <c r="S76" s="1852"/>
      <c r="T76" s="1852"/>
      <c r="U76" s="1236"/>
      <c r="V76" s="1852"/>
      <c r="W76" s="1852"/>
      <c r="X76" s="1852"/>
      <c r="Y76" s="1852"/>
      <c r="Z76" s="1852"/>
      <c r="AA76" s="2324"/>
      <c r="AB76" s="1258"/>
      <c r="AC76" s="1258"/>
      <c r="AD76" s="1258"/>
      <c r="AE76" s="1258"/>
      <c r="AF76" s="2333">
        <v>11</v>
      </c>
    </row>
    <row s="61193" customFormat="1" customHeight="1" ht="11.549999999999999">
      <c r="A77" s="1679"/>
      <c r="B77" s="2328"/>
      <c r="C77" s="2328"/>
      <c r="D77" s="1043"/>
      <c r="K77" s="1852"/>
      <c r="L77" s="2328"/>
      <c r="M77" s="2328"/>
      <c r="N77" s="1852"/>
      <c r="O77" s="1852"/>
      <c r="P77" s="1852"/>
      <c r="Q77" s="1852"/>
      <c r="R77" s="2328"/>
      <c r="S77" s="1852"/>
      <c r="T77" s="1852"/>
      <c r="U77" s="1236"/>
      <c r="V77" s="1852"/>
      <c r="W77" s="1852"/>
      <c r="X77" s="1852"/>
      <c r="Y77" s="1852"/>
      <c r="Z77" s="1852"/>
      <c r="AA77" s="2324"/>
      <c r="AB77" s="1258"/>
      <c r="AC77" s="1258"/>
      <c r="AD77" s="1258"/>
      <c r="AE77" s="1258"/>
      <c r="AF77" s="2333">
        <v>11</v>
      </c>
    </row>
    <row s="61193" customFormat="1" customHeight="1" ht="11.549999999999999">
      <c r="A78" s="1679"/>
      <c r="B78" s="2328"/>
      <c r="C78" s="2328"/>
      <c r="D78" s="1043"/>
      <c r="K78" s="1852"/>
      <c r="L78" s="2328"/>
      <c r="M78" s="2328"/>
      <c r="N78" s="1852"/>
      <c r="O78" s="1852"/>
      <c r="P78" s="1852"/>
      <c r="Q78" s="1852"/>
      <c r="R78" s="2328"/>
      <c r="S78" s="1852"/>
      <c r="T78" s="1852"/>
      <c r="U78" s="1236"/>
      <c r="V78" s="1852"/>
      <c r="W78" s="1852"/>
      <c r="X78" s="1852"/>
      <c r="Y78" s="1852"/>
      <c r="Z78" s="1852"/>
      <c r="AA78" s="2324"/>
      <c r="AB78" s="1258"/>
      <c r="AC78" s="1258"/>
      <c r="AD78" s="1258"/>
      <c r="AE78" s="1258"/>
      <c r="AF78" s="2333">
        <v>11</v>
      </c>
    </row>
    <row s="61193" customFormat="1" customHeight="1" ht="11.549999999999999">
      <c r="A79" s="1679"/>
      <c r="B79" s="2328"/>
      <c r="C79" s="2328"/>
      <c r="D79" s="1043"/>
      <c r="K79" s="1852"/>
      <c r="L79" s="2328"/>
      <c r="M79" s="2328"/>
      <c r="N79" s="1852"/>
      <c r="O79" s="1852"/>
      <c r="P79" s="1852"/>
      <c r="Q79" s="1852"/>
      <c r="R79" s="2328"/>
      <c r="S79" s="1852"/>
      <c r="T79" s="1852"/>
      <c r="U79" s="1236"/>
      <c r="V79" s="1852"/>
      <c r="W79" s="1852"/>
      <c r="X79" s="1852"/>
      <c r="Y79" s="1852"/>
      <c r="Z79" s="1852"/>
      <c r="AA79" s="2324"/>
      <c r="AB79" s="1258"/>
      <c r="AC79" s="1258"/>
      <c r="AD79" s="1258"/>
      <c r="AE79" s="1258"/>
      <c r="AF79" s="2333">
        <v>11</v>
      </c>
    </row>
    <row s="61193" customFormat="1" customHeight="1" ht="11.549999999999999">
      <c r="A80" s="1679"/>
      <c r="B80" s="2328"/>
      <c r="C80" s="2328"/>
      <c r="D80" s="1043"/>
      <c r="K80" s="1852"/>
      <c r="L80" s="2328"/>
      <c r="M80" s="2328"/>
      <c r="N80" s="1852"/>
      <c r="O80" s="1852"/>
      <c r="P80" s="1852"/>
      <c r="Q80" s="1852"/>
      <c r="R80" s="2328"/>
      <c r="S80" s="1852"/>
      <c r="T80" s="1852"/>
      <c r="U80" s="1236"/>
      <c r="V80" s="1852"/>
      <c r="W80" s="1852"/>
      <c r="X80" s="1852"/>
      <c r="Y80" s="1852"/>
      <c r="Z80" s="1852"/>
      <c r="AA80" s="2324"/>
      <c r="AB80" s="1258"/>
      <c r="AC80" s="1258"/>
      <c r="AD80" s="1258"/>
      <c r="AE80" s="1258"/>
      <c r="AF80" s="2333">
        <v>11</v>
      </c>
    </row>
    <row s="61193" customFormat="1" customHeight="1" ht="11.549999999999999">
      <c r="A81" s="1679"/>
      <c r="B81" s="2328"/>
      <c r="C81" s="2328"/>
      <c r="D81" s="1043"/>
      <c r="K81" s="1852"/>
      <c r="L81" s="2328"/>
      <c r="M81" s="2328"/>
      <c r="N81" s="1852"/>
      <c r="O81" s="1852"/>
      <c r="P81" s="1852"/>
      <c r="Q81" s="1852"/>
      <c r="R81" s="2328"/>
      <c r="S81" s="1852"/>
      <c r="T81" s="1852"/>
      <c r="U81" s="1236"/>
      <c r="V81" s="1852"/>
      <c r="W81" s="1852"/>
      <c r="X81" s="1852"/>
      <c r="Y81" s="1852"/>
      <c r="Z81" s="1852"/>
      <c r="AA81" s="2324"/>
      <c r="AB81" s="1258"/>
      <c r="AC81" s="1258"/>
      <c r="AD81" s="1258"/>
      <c r="AE81" s="1258"/>
      <c r="AF81" s="2333">
        <v>11</v>
      </c>
    </row>
    <row s="61193" customFormat="1" customHeight="1" ht="11.549999999999999">
      <c r="A82" s="1679"/>
      <c r="B82" s="2328"/>
      <c r="C82" s="2328"/>
      <c r="D82" s="1043"/>
      <c r="K82" s="1852"/>
      <c r="L82" s="2328"/>
      <c r="M82" s="2328"/>
      <c r="N82" s="1852"/>
      <c r="O82" s="1852"/>
      <c r="P82" s="1852"/>
      <c r="Q82" s="1852"/>
      <c r="R82" s="2328"/>
      <c r="S82" s="1852"/>
      <c r="T82" s="1852"/>
      <c r="U82" s="1236"/>
      <c r="V82" s="1852"/>
      <c r="W82" s="1852"/>
      <c r="X82" s="1852"/>
      <c r="Y82" s="1852"/>
      <c r="Z82" s="1852"/>
      <c r="AA82" s="2324"/>
      <c r="AB82" s="1258"/>
      <c r="AC82" s="1258"/>
      <c r="AD82" s="1258"/>
      <c r="AE82" s="1258"/>
      <c r="AF82" s="2333">
        <v>11</v>
      </c>
    </row>
    <row s="61193" customFormat="1" customHeight="1" ht="11.549999999999999">
      <c r="A83" s="1679"/>
      <c r="B83" s="2328"/>
      <c r="C83" s="2328"/>
      <c r="D83" s="1043"/>
      <c r="K83" s="1852"/>
      <c r="L83" s="2328"/>
      <c r="M83" s="2328"/>
      <c r="N83" s="1852"/>
      <c r="O83" s="1852"/>
      <c r="P83" s="1852"/>
      <c r="Q83" s="1852"/>
      <c r="R83" s="2328"/>
      <c r="S83" s="1852"/>
      <c r="T83" s="1852"/>
      <c r="U83" s="1236"/>
      <c r="V83" s="1852"/>
      <c r="W83" s="1852"/>
      <c r="X83" s="1852"/>
      <c r="Y83" s="1852"/>
      <c r="Z83" s="1852"/>
      <c r="AA83" s="2324"/>
      <c r="AB83" s="1258"/>
      <c r="AC83" s="1258"/>
      <c r="AD83" s="1258"/>
      <c r="AE83" s="1258"/>
      <c r="AF83" s="2333">
        <v>11</v>
      </c>
    </row>
    <row s="61193" customFormat="1" customHeight="1" ht="11.549999999999999">
      <c r="A84" s="1679"/>
      <c r="B84" s="2328"/>
      <c r="C84" s="2328"/>
      <c r="D84" s="1043"/>
      <c r="K84" s="1852"/>
      <c r="L84" s="2328"/>
      <c r="M84" s="2328"/>
      <c r="N84" s="1852"/>
      <c r="O84" s="1852"/>
      <c r="P84" s="1852"/>
      <c r="Q84" s="1852"/>
      <c r="R84" s="2328"/>
      <c r="S84" s="1852"/>
      <c r="T84" s="1852"/>
      <c r="U84" s="1236"/>
      <c r="V84" s="1852"/>
      <c r="W84" s="1852"/>
      <c r="X84" s="1852"/>
      <c r="Y84" s="1852"/>
      <c r="Z84" s="1852"/>
      <c r="AA84" s="2324"/>
      <c r="AB84" s="1258"/>
      <c r="AC84" s="1258"/>
      <c r="AD84" s="1258"/>
      <c r="AE84" s="1258"/>
      <c r="AF84" s="2333">
        <v>11</v>
      </c>
    </row>
    <row s="61193" customFormat="1" customHeight="1" ht="11.549999999999999">
      <c r="A85" s="1679"/>
      <c r="B85" s="2328"/>
      <c r="C85" s="2328"/>
      <c r="D85" s="1043"/>
      <c r="K85" s="1852"/>
      <c r="L85" s="2328"/>
      <c r="M85" s="2328"/>
      <c r="N85" s="1852"/>
      <c r="O85" s="1852"/>
      <c r="P85" s="1852"/>
      <c r="Q85" s="1852"/>
      <c r="R85" s="2328"/>
      <c r="S85" s="1852"/>
      <c r="T85" s="1852"/>
      <c r="U85" s="1236"/>
      <c r="V85" s="1852"/>
      <c r="W85" s="1852"/>
      <c r="X85" s="1852"/>
      <c r="Y85" s="1852"/>
      <c r="Z85" s="1852"/>
      <c r="AA85" s="2324"/>
      <c r="AB85" s="1258"/>
      <c r="AC85" s="1258"/>
      <c r="AD85" s="1258"/>
      <c r="AE85" s="1258"/>
      <c r="AF85" s="2333">
        <v>11</v>
      </c>
    </row>
    <row s="61193" customFormat="1" customHeight="1" ht="11.549999999999999">
      <c r="A86" s="1679"/>
      <c r="B86" s="2328"/>
      <c r="C86" s="2328"/>
      <c r="D86" s="1043"/>
      <c r="K86" s="1852"/>
      <c r="L86" s="2328"/>
      <c r="M86" s="2328"/>
      <c r="N86" s="1852"/>
      <c r="O86" s="1852"/>
      <c r="P86" s="1852"/>
      <c r="Q86" s="1852"/>
      <c r="R86" s="2328"/>
      <c r="S86" s="1852"/>
      <c r="T86" s="1852"/>
      <c r="U86" s="1236"/>
      <c r="V86" s="1852"/>
      <c r="W86" s="1852"/>
      <c r="X86" s="1852"/>
      <c r="Y86" s="1852"/>
      <c r="Z86" s="1852"/>
      <c r="AA86" s="2324"/>
      <c r="AB86" s="1258"/>
      <c r="AC86" s="1258"/>
      <c r="AD86" s="1258"/>
      <c r="AE86" s="1258"/>
      <c r="AF86" s="2333">
        <v>11</v>
      </c>
    </row>
    <row s="61193" customFormat="1" customHeight="1" ht="11.549999999999999">
      <c r="A87" s="1679"/>
      <c r="B87" s="2328"/>
      <c r="C87" s="2328"/>
      <c r="D87" s="1043"/>
      <c r="K87" s="1852"/>
      <c r="L87" s="2328"/>
      <c r="M87" s="2328"/>
      <c r="N87" s="1852"/>
      <c r="O87" s="1852"/>
      <c r="P87" s="1852"/>
      <c r="Q87" s="1852"/>
      <c r="R87" s="2328"/>
      <c r="S87" s="1852"/>
      <c r="T87" s="1852"/>
      <c r="U87" s="1236"/>
      <c r="V87" s="1852"/>
      <c r="W87" s="1852"/>
      <c r="X87" s="1852"/>
      <c r="Y87" s="1852"/>
      <c r="Z87" s="1852"/>
      <c r="AA87" s="2324"/>
      <c r="AB87" s="1258"/>
      <c r="AC87" s="1258"/>
      <c r="AD87" s="1258"/>
      <c r="AE87" s="1258"/>
      <c r="AF87" s="2333">
        <v>11</v>
      </c>
    </row>
    <row s="61193" customFormat="1" customHeight="1" ht="11.549999999999999">
      <c r="A88" s="1679"/>
      <c r="B88" s="2328"/>
      <c r="C88" s="2328"/>
      <c r="D88" s="1043"/>
      <c r="K88" s="1852"/>
      <c r="L88" s="2328"/>
      <c r="M88" s="2328"/>
      <c r="N88" s="1852"/>
      <c r="O88" s="1852"/>
      <c r="P88" s="1852"/>
      <c r="Q88" s="1852"/>
      <c r="R88" s="2328"/>
      <c r="S88" s="1852"/>
      <c r="T88" s="1852"/>
      <c r="U88" s="1236"/>
      <c r="V88" s="1852"/>
      <c r="W88" s="1852"/>
      <c r="X88" s="1852"/>
      <c r="Y88" s="1852"/>
      <c r="Z88" s="1852"/>
      <c r="AA88" s="2324"/>
      <c r="AB88" s="1258"/>
      <c r="AC88" s="1258"/>
      <c r="AD88" s="1258"/>
      <c r="AE88" s="1258"/>
      <c r="AF88" s="2333">
        <v>11</v>
      </c>
    </row>
    <row s="61193" customFormat="1" customHeight="1" ht="11.549999999999999">
      <c r="A89" s="1679"/>
      <c r="B89" s="2328"/>
      <c r="C89" s="2328"/>
      <c r="D89" s="1043"/>
      <c r="K89" s="1852"/>
      <c r="L89" s="2328"/>
      <c r="M89" s="2328"/>
      <c r="N89" s="1852"/>
      <c r="O89" s="1852"/>
      <c r="P89" s="1852"/>
      <c r="Q89" s="1852"/>
      <c r="R89" s="2328"/>
      <c r="S89" s="1852"/>
      <c r="T89" s="1852"/>
      <c r="U89" s="1236"/>
      <c r="V89" s="1852"/>
      <c r="W89" s="1852"/>
      <c r="X89" s="1852"/>
      <c r="Y89" s="1852"/>
      <c r="Z89" s="1852"/>
      <c r="AA89" s="2324"/>
      <c r="AB89" s="1258"/>
      <c r="AC89" s="1258"/>
      <c r="AD89" s="1258"/>
      <c r="AE89" s="1258"/>
      <c r="AF89" s="2333">
        <v>11</v>
      </c>
    </row>
    <row s="61193" customFormat="1" customHeight="1" ht="11.549999999999999">
      <c r="A90" s="1679"/>
      <c r="B90" s="2328"/>
      <c r="C90" s="2328"/>
      <c r="D90" s="1043"/>
      <c r="K90" s="1852"/>
      <c r="L90" s="2328"/>
      <c r="M90" s="2328"/>
      <c r="N90" s="1852"/>
      <c r="O90" s="1852"/>
      <c r="P90" s="1852"/>
      <c r="Q90" s="1852"/>
      <c r="R90" s="2328"/>
      <c r="S90" s="1852"/>
      <c r="T90" s="1852"/>
      <c r="U90" s="1236"/>
      <c r="V90" s="1852"/>
      <c r="W90" s="1852"/>
      <c r="X90" s="1852"/>
      <c r="Y90" s="1852"/>
      <c r="Z90" s="1852"/>
      <c r="AA90" s="2324"/>
      <c r="AB90" s="1258"/>
      <c r="AC90" s="1258"/>
      <c r="AD90" s="1258"/>
      <c r="AE90" s="1258"/>
      <c r="AF90" s="2333">
        <v>11</v>
      </c>
    </row>
    <row s="61193" customFormat="1" customHeight="1" ht="11.549999999999999">
      <c r="A91" s="1679"/>
      <c r="B91" s="2328"/>
      <c r="C91" s="2328"/>
      <c r="D91" s="1043"/>
      <c r="K91" s="1852"/>
      <c r="L91" s="2328"/>
      <c r="M91" s="2328"/>
      <c r="N91" s="1852"/>
      <c r="O91" s="1852"/>
      <c r="P91" s="1852"/>
      <c r="Q91" s="1852"/>
      <c r="R91" s="2328"/>
      <c r="S91" s="1852"/>
      <c r="T91" s="1852"/>
      <c r="U91" s="1236"/>
      <c r="V91" s="1852"/>
      <c r="W91" s="1852"/>
      <c r="X91" s="1852"/>
      <c r="Y91" s="1852"/>
      <c r="Z91" s="1852"/>
      <c r="AA91" s="2324"/>
      <c r="AB91" s="1258"/>
      <c r="AC91" s="1258"/>
      <c r="AD91" s="1258"/>
      <c r="AE91" s="1258"/>
      <c r="AF91" s="2333">
        <v>11</v>
      </c>
    </row>
    <row s="61193" customFormat="1" customHeight="1" ht="11.549999999999999">
      <c r="A92" s="1679"/>
      <c r="B92" s="2328"/>
      <c r="C92" s="2328"/>
      <c r="D92" s="1043"/>
      <c r="K92" s="1852"/>
      <c r="L92" s="2328"/>
      <c r="M92" s="2328"/>
      <c r="N92" s="1852"/>
      <c r="O92" s="1852"/>
      <c r="P92" s="1852"/>
      <c r="Q92" s="1852"/>
      <c r="R92" s="2328"/>
      <c r="S92" s="1852"/>
      <c r="T92" s="1852"/>
      <c r="U92" s="1236"/>
      <c r="V92" s="1852"/>
      <c r="W92" s="1852"/>
      <c r="X92" s="1852"/>
      <c r="Y92" s="1852"/>
      <c r="Z92" s="1852"/>
      <c r="AA92" s="2324"/>
      <c r="AB92" s="1258"/>
      <c r="AC92" s="1258"/>
      <c r="AD92" s="1258"/>
      <c r="AE92" s="1258"/>
      <c r="AF92" s="2333">
        <v>11</v>
      </c>
    </row>
    <row s="61193" customFormat="1" customHeight="1" ht="11.549999999999999">
      <c r="A93" s="1679"/>
      <c r="B93" s="2328"/>
      <c r="C93" s="2328"/>
      <c r="D93" s="1043"/>
      <c r="K93" s="1852"/>
      <c r="L93" s="2328"/>
      <c r="M93" s="2328"/>
      <c r="N93" s="1852"/>
      <c r="O93" s="1852"/>
      <c r="P93" s="1852"/>
      <c r="Q93" s="1852"/>
      <c r="R93" s="2328"/>
      <c r="S93" s="1852"/>
      <c r="T93" s="1852"/>
      <c r="U93" s="1236"/>
      <c r="V93" s="1852"/>
      <c r="W93" s="1852"/>
      <c r="X93" s="1852"/>
      <c r="Y93" s="1852"/>
      <c r="Z93" s="1852"/>
      <c r="AA93" s="2324"/>
      <c r="AB93" s="1258"/>
      <c r="AC93" s="1258"/>
      <c r="AD93" s="1258"/>
      <c r="AE93" s="1258"/>
      <c r="AF93" s="2333">
        <v>11</v>
      </c>
    </row>
    <row s="61193" customFormat="1" customHeight="1" ht="11.549999999999999">
      <c r="A94" s="1679"/>
      <c r="B94" s="2328"/>
      <c r="C94" s="2328"/>
      <c r="D94" s="1043"/>
      <c r="K94" s="1852"/>
      <c r="L94" s="2328"/>
      <c r="M94" s="2328"/>
      <c r="N94" s="1852"/>
      <c r="O94" s="1852"/>
      <c r="P94" s="1852"/>
      <c r="Q94" s="1852"/>
      <c r="R94" s="2328"/>
      <c r="S94" s="1852"/>
      <c r="T94" s="1852"/>
      <c r="U94" s="1236"/>
      <c r="V94" s="1852"/>
      <c r="W94" s="1852"/>
      <c r="X94" s="1852"/>
      <c r="Y94" s="1852"/>
      <c r="Z94" s="1852"/>
      <c r="AA94" s="2324"/>
      <c r="AB94" s="1258"/>
      <c r="AC94" s="1258"/>
      <c r="AD94" s="1258"/>
      <c r="AE94" s="1258"/>
      <c r="AF94" s="2333">
        <v>11</v>
      </c>
    </row>
    <row s="61193" customFormat="1" customHeight="1" ht="11.549999999999999">
      <c r="A95" s="1679"/>
      <c r="B95" s="2328"/>
      <c r="C95" s="2328"/>
      <c r="D95" s="1043"/>
      <c r="K95" s="1852"/>
      <c r="L95" s="2328"/>
      <c r="M95" s="2328"/>
      <c r="N95" s="1852"/>
      <c r="O95" s="1852"/>
      <c r="P95" s="1852"/>
      <c r="Q95" s="1852"/>
      <c r="R95" s="2328"/>
      <c r="S95" s="1852"/>
      <c r="T95" s="1852"/>
      <c r="U95" s="1236"/>
      <c r="V95" s="1852"/>
      <c r="W95" s="1852"/>
      <c r="X95" s="1852"/>
      <c r="Y95" s="1852"/>
      <c r="Z95" s="1852"/>
      <c r="AA95" s="2324"/>
      <c r="AB95" s="1258"/>
      <c r="AC95" s="1258"/>
      <c r="AD95" s="1258"/>
      <c r="AE95" s="1258"/>
      <c r="AF95" s="2333">
        <v>11</v>
      </c>
    </row>
    <row s="61193" customFormat="1" customHeight="1" ht="11.549999999999999">
      <c r="A96" s="1679"/>
      <c r="B96" s="2328"/>
      <c r="C96" s="2328"/>
      <c r="D96" s="1043"/>
      <c r="K96" s="1852"/>
      <c r="L96" s="2328"/>
      <c r="M96" s="2328"/>
      <c r="N96" s="1852"/>
      <c r="O96" s="1852"/>
      <c r="P96" s="1852"/>
      <c r="Q96" s="1852"/>
      <c r="R96" s="2328"/>
      <c r="S96" s="1852"/>
      <c r="T96" s="1852"/>
      <c r="U96" s="1236"/>
      <c r="V96" s="1852"/>
      <c r="W96" s="1852"/>
      <c r="X96" s="1852"/>
      <c r="Y96" s="1852"/>
      <c r="Z96" s="1852"/>
      <c r="AA96" s="2324"/>
      <c r="AB96" s="1258"/>
      <c r="AC96" s="1258"/>
      <c r="AD96" s="1258"/>
      <c r="AE96" s="1258"/>
      <c r="AF96" s="2333">
        <v>11</v>
      </c>
    </row>
    <row s="61193" customFormat="1" customHeight="1" ht="11.549999999999999">
      <c r="A97" s="1679"/>
      <c r="B97" s="2328"/>
      <c r="C97" s="2328"/>
      <c r="D97" s="1043"/>
      <c r="K97" s="1852"/>
      <c r="L97" s="2328"/>
      <c r="M97" s="2328"/>
      <c r="N97" s="1852"/>
      <c r="O97" s="1852"/>
      <c r="P97" s="1852"/>
      <c r="Q97" s="1852"/>
      <c r="R97" s="2328"/>
      <c r="S97" s="1852"/>
      <c r="T97" s="1852"/>
      <c r="U97" s="1236"/>
      <c r="V97" s="1852"/>
      <c r="W97" s="1852"/>
      <c r="X97" s="1852"/>
      <c r="Y97" s="1852"/>
      <c r="Z97" s="1852"/>
      <c r="AA97" s="2324"/>
      <c r="AB97" s="1258"/>
      <c r="AC97" s="1258"/>
      <c r="AD97" s="1258"/>
      <c r="AE97" s="1258"/>
      <c r="AF97" s="2333">
        <v>11</v>
      </c>
    </row>
    <row s="61193" customFormat="1" customHeight="1" ht="11.549999999999999">
      <c r="A98" s="1679"/>
      <c r="B98" s="2328"/>
      <c r="C98" s="2328"/>
      <c r="D98" s="1043"/>
      <c r="K98" s="1852"/>
      <c r="L98" s="2328"/>
      <c r="M98" s="2328"/>
      <c r="N98" s="1852"/>
      <c r="O98" s="1852"/>
      <c r="P98" s="1852"/>
      <c r="Q98" s="1852"/>
      <c r="R98" s="2328"/>
      <c r="S98" s="1852"/>
      <c r="T98" s="1852"/>
      <c r="U98" s="1236"/>
      <c r="V98" s="1852"/>
      <c r="W98" s="1852"/>
      <c r="X98" s="1852"/>
      <c r="Y98" s="1852"/>
      <c r="Z98" s="1852"/>
      <c r="AA98" s="2324"/>
      <c r="AB98" s="1258"/>
      <c r="AC98" s="1258"/>
      <c r="AD98" s="1258"/>
      <c r="AE98" s="1258"/>
      <c r="AF98" s="2333">
        <v>11</v>
      </c>
    </row>
    <row s="61193" customFormat="1" customHeight="1" ht="11.549999999999999">
      <c r="A99" s="1679"/>
      <c r="B99" s="2328"/>
      <c r="C99" s="2328"/>
      <c r="D99" s="1043"/>
      <c r="K99" s="1852"/>
      <c r="L99" s="2328"/>
      <c r="M99" s="2328"/>
      <c r="N99" s="1852"/>
      <c r="O99" s="1852"/>
      <c r="P99" s="1852"/>
      <c r="Q99" s="1852"/>
      <c r="R99" s="2328"/>
      <c r="S99" s="1852"/>
      <c r="T99" s="1852"/>
      <c r="U99" s="1236"/>
      <c r="V99" s="1852"/>
      <c r="W99" s="1852"/>
      <c r="X99" s="1852"/>
      <c r="Y99" s="1852"/>
      <c r="Z99" s="1852"/>
      <c r="AA99" s="2324"/>
      <c r="AB99" s="1258"/>
      <c r="AC99" s="1258"/>
      <c r="AD99" s="1258"/>
      <c r="AE99" s="1258"/>
      <c r="AF99" s="2333">
        <v>11</v>
      </c>
    </row>
    <row s="61193" customFormat="1" customHeight="1" ht="11.549999999999999">
      <c r="A100" s="1679"/>
      <c r="B100" s="2328"/>
      <c r="C100" s="2328"/>
      <c r="D100" s="1043"/>
      <c r="K100" s="1852"/>
      <c r="L100" s="2328"/>
      <c r="M100" s="2328"/>
      <c r="N100" s="1852"/>
      <c r="O100" s="1852"/>
      <c r="P100" s="1852"/>
      <c r="Q100" s="1852"/>
      <c r="R100" s="2328"/>
      <c r="S100" s="1852"/>
      <c r="T100" s="1852"/>
      <c r="U100" s="1236"/>
      <c r="V100" s="1852"/>
      <c r="W100" s="1852"/>
      <c r="X100" s="1852"/>
      <c r="Y100" s="1852"/>
      <c r="Z100" s="1852"/>
      <c r="AA100" s="2324"/>
      <c r="AB100" s="1258"/>
      <c r="AC100" s="1258"/>
      <c r="AD100" s="1258"/>
      <c r="AE100" s="1258"/>
      <c r="AF100" s="2333">
        <v>11</v>
      </c>
    </row>
    <row s="61193" customFormat="1" customHeight="1" ht="11.549999999999999">
      <c r="A101" s="1679"/>
      <c r="B101" s="2328"/>
      <c r="C101" s="2328"/>
      <c r="D101" s="1043"/>
      <c r="K101" s="1852"/>
      <c r="L101" s="2328"/>
      <c r="M101" s="2328"/>
      <c r="N101" s="1852"/>
      <c r="O101" s="1852"/>
      <c r="P101" s="1852"/>
      <c r="Q101" s="1852"/>
      <c r="R101" s="2328"/>
      <c r="S101" s="1852"/>
      <c r="T101" s="1852"/>
      <c r="U101" s="1236"/>
      <c r="V101" s="1852"/>
      <c r="W101" s="1852"/>
      <c r="X101" s="1852"/>
      <c r="Y101" s="1852"/>
      <c r="Z101" s="1852"/>
      <c r="AA101" s="2324"/>
      <c r="AB101" s="1258"/>
      <c r="AC101" s="1258"/>
      <c r="AD101" s="1258"/>
      <c r="AE101" s="1258"/>
      <c r="AF101" s="2333">
        <v>11</v>
      </c>
    </row>
    <row s="61193" customFormat="1" customHeight="1" ht="11.549999999999999">
      <c r="A102" s="1679"/>
      <c r="B102" s="2328"/>
      <c r="C102" s="2328"/>
      <c r="D102" s="1043"/>
      <c r="K102" s="1852"/>
      <c r="L102" s="2328"/>
      <c r="M102" s="2328"/>
      <c r="N102" s="1852"/>
      <c r="O102" s="1852"/>
      <c r="P102" s="1852"/>
      <c r="Q102" s="1852"/>
      <c r="R102" s="2328"/>
      <c r="S102" s="1852"/>
      <c r="T102" s="1852"/>
      <c r="U102" s="1236"/>
      <c r="V102" s="1852"/>
      <c r="W102" s="1852"/>
      <c r="X102" s="1852"/>
      <c r="Y102" s="1852"/>
      <c r="Z102" s="1852"/>
      <c r="AA102" s="2324"/>
      <c r="AB102" s="1258"/>
      <c r="AC102" s="1258"/>
      <c r="AD102" s="1258"/>
      <c r="AE102" s="1258"/>
      <c r="AF102" s="2333">
        <v>11</v>
      </c>
    </row>
    <row s="61193" customFormat="1" customHeight="1" ht="11.549999999999999">
      <c r="A103" s="1679"/>
      <c r="B103" s="2328"/>
      <c r="C103" s="2328"/>
      <c r="D103" s="1043"/>
      <c r="K103" s="1852"/>
      <c r="L103" s="2328"/>
      <c r="M103" s="2328"/>
      <c r="N103" s="1852"/>
      <c r="O103" s="1852"/>
      <c r="P103" s="1852"/>
      <c r="Q103" s="1852"/>
      <c r="R103" s="2328"/>
      <c r="S103" s="1852"/>
      <c r="T103" s="1852"/>
      <c r="U103" s="1236"/>
      <c r="V103" s="1852"/>
      <c r="W103" s="1852"/>
      <c r="X103" s="1852"/>
      <c r="Y103" s="1852"/>
      <c r="Z103" s="1852"/>
      <c r="AA103" s="2324"/>
      <c r="AB103" s="1258"/>
      <c r="AC103" s="1258"/>
      <c r="AD103" s="1258"/>
      <c r="AE103" s="1258"/>
      <c r="AF103" s="2333">
        <v>11</v>
      </c>
    </row>
    <row s="61193" customFormat="1" customHeight="1" ht="11.549999999999999">
      <c r="A104" s="1679"/>
      <c r="B104" s="2328"/>
      <c r="C104" s="2328"/>
      <c r="D104" s="1043"/>
      <c r="K104" s="1852"/>
      <c r="L104" s="2328"/>
      <c r="M104" s="2328"/>
      <c r="N104" s="1852"/>
      <c r="O104" s="1852"/>
      <c r="P104" s="1852"/>
      <c r="Q104" s="1852"/>
      <c r="R104" s="2328"/>
      <c r="S104" s="1852"/>
      <c r="T104" s="1852"/>
      <c r="U104" s="1236"/>
      <c r="V104" s="1852"/>
      <c r="W104" s="1852"/>
      <c r="X104" s="1852"/>
      <c r="Y104" s="1852"/>
      <c r="Z104" s="1852"/>
      <c r="AA104" s="2324"/>
      <c r="AB104" s="1258"/>
      <c r="AC104" s="1258"/>
      <c r="AD104" s="1258"/>
      <c r="AE104" s="1258"/>
      <c r="AF104" s="2333">
        <v>11</v>
      </c>
    </row>
    <row s="61193" customFormat="1" customHeight="1" ht="11.549999999999999">
      <c r="A105" s="1679"/>
      <c r="B105" s="2328"/>
      <c r="C105" s="2328"/>
      <c r="D105" s="1043"/>
      <c r="K105" s="1852"/>
      <c r="L105" s="2328"/>
      <c r="M105" s="2328"/>
      <c r="N105" s="1852"/>
      <c r="O105" s="1852"/>
      <c r="P105" s="1852"/>
      <c r="Q105" s="1852"/>
      <c r="R105" s="2328"/>
      <c r="S105" s="1852"/>
      <c r="T105" s="1852"/>
      <c r="U105" s="1236"/>
      <c r="V105" s="1852"/>
      <c r="W105" s="1852"/>
      <c r="X105" s="1852"/>
      <c r="Y105" s="1852"/>
      <c r="Z105" s="1852"/>
      <c r="AA105" s="2324"/>
      <c r="AB105" s="1258"/>
      <c r="AC105" s="1258"/>
      <c r="AD105" s="1258"/>
      <c r="AE105" s="1258"/>
      <c r="AF105" s="2333">
        <v>11</v>
      </c>
    </row>
    <row s="61193" customFormat="1" customHeight="1" ht="11.549999999999999">
      <c r="A106" s="1679"/>
      <c r="B106" s="2328"/>
      <c r="C106" s="2328"/>
      <c r="D106" s="1043"/>
      <c r="K106" s="1852"/>
      <c r="L106" s="2328"/>
      <c r="M106" s="2328"/>
      <c r="N106" s="1852"/>
      <c r="O106" s="1852"/>
      <c r="P106" s="1852"/>
      <c r="Q106" s="1852"/>
      <c r="R106" s="2328"/>
      <c r="S106" s="1852"/>
      <c r="T106" s="1852"/>
      <c r="U106" s="1236"/>
      <c r="V106" s="1852"/>
      <c r="W106" s="1852"/>
      <c r="X106" s="1852"/>
      <c r="Y106" s="1852"/>
      <c r="Z106" s="1852"/>
      <c r="AA106" s="2324"/>
      <c r="AB106" s="1258"/>
      <c r="AC106" s="1258"/>
      <c r="AD106" s="1258"/>
      <c r="AE106" s="1258"/>
      <c r="AF106" s="2333">
        <v>11</v>
      </c>
    </row>
    <row s="61193" customFormat="1" customHeight="1" ht="11.549999999999999">
      <c r="A107" s="1679"/>
      <c r="B107" s="2328"/>
      <c r="C107" s="2328"/>
      <c r="D107" s="1043"/>
      <c r="K107" s="1852"/>
      <c r="L107" s="2328"/>
      <c r="M107" s="2328"/>
      <c r="N107" s="1852"/>
      <c r="O107" s="1852"/>
      <c r="P107" s="1852"/>
      <c r="Q107" s="1852"/>
      <c r="R107" s="2328"/>
      <c r="S107" s="1852"/>
      <c r="T107" s="1852"/>
      <c r="U107" s="1236"/>
      <c r="V107" s="1852"/>
      <c r="W107" s="1852"/>
      <c r="X107" s="1852"/>
      <c r="Y107" s="1852"/>
      <c r="Z107" s="1852"/>
      <c r="AA107" s="2324"/>
      <c r="AB107" s="1258"/>
      <c r="AC107" s="1258"/>
      <c r="AD107" s="1258"/>
      <c r="AE107" s="1258"/>
      <c r="AF107" s="2333">
        <v>11</v>
      </c>
    </row>
    <row s="61193" customFormat="1" customHeight="1" ht="11.549999999999999">
      <c r="A108" s="1679"/>
      <c r="B108" s="2328"/>
      <c r="C108" s="2328"/>
      <c r="D108" s="1043"/>
      <c r="K108" s="1852"/>
      <c r="L108" s="2328"/>
      <c r="M108" s="2328"/>
      <c r="N108" s="1852"/>
      <c r="O108" s="1852"/>
      <c r="P108" s="1852"/>
      <c r="Q108" s="1852"/>
      <c r="R108" s="2328"/>
      <c r="S108" s="1852"/>
      <c r="T108" s="1852"/>
      <c r="U108" s="1236"/>
      <c r="V108" s="1852"/>
      <c r="W108" s="1852"/>
      <c r="X108" s="1852"/>
      <c r="Y108" s="1852"/>
      <c r="Z108" s="1852"/>
      <c r="AA108" s="2324"/>
      <c r="AB108" s="1258"/>
      <c r="AC108" s="1258"/>
      <c r="AD108" s="1258"/>
      <c r="AE108" s="1258"/>
      <c r="AF108" s="2333">
        <v>11</v>
      </c>
    </row>
    <row s="61193" customFormat="1" customHeight="1" ht="11.549999999999999">
      <c r="A109" s="1679"/>
      <c r="B109" s="2328"/>
      <c r="C109" s="2328"/>
      <c r="D109" s="1043"/>
      <c r="K109" s="1852"/>
      <c r="L109" s="2328"/>
      <c r="M109" s="2328"/>
      <c r="N109" s="1852"/>
      <c r="O109" s="1852"/>
      <c r="P109" s="1852"/>
      <c r="Q109" s="1852"/>
      <c r="R109" s="2328"/>
      <c r="S109" s="1852"/>
      <c r="T109" s="1852"/>
      <c r="U109" s="1236"/>
      <c r="V109" s="1852"/>
      <c r="W109" s="1852"/>
      <c r="X109" s="1852"/>
      <c r="Y109" s="1852"/>
      <c r="Z109" s="1852"/>
      <c r="AA109" s="2324"/>
      <c r="AB109" s="1258"/>
      <c r="AC109" s="1258"/>
      <c r="AD109" s="1258"/>
      <c r="AE109" s="1258"/>
      <c r="AF109" s="2333">
        <v>11</v>
      </c>
    </row>
    <row s="61193" customFormat="1" customHeight="1" ht="11.549999999999999">
      <c r="A110" s="1679"/>
      <c r="B110" s="2328"/>
      <c r="C110" s="2328"/>
      <c r="D110" s="1043"/>
      <c r="K110" s="1852"/>
      <c r="L110" s="2328"/>
      <c r="M110" s="2328"/>
      <c r="N110" s="1852"/>
      <c r="O110" s="1852"/>
      <c r="P110" s="1852"/>
      <c r="Q110" s="1852"/>
      <c r="R110" s="2328"/>
      <c r="S110" s="1852"/>
      <c r="T110" s="1852"/>
      <c r="U110" s="1236"/>
      <c r="V110" s="1852"/>
      <c r="W110" s="1852"/>
      <c r="X110" s="1852"/>
      <c r="Y110" s="1852"/>
      <c r="Z110" s="1852"/>
      <c r="AA110" s="2324"/>
      <c r="AB110" s="1258"/>
      <c r="AC110" s="1258"/>
      <c r="AD110" s="1258"/>
      <c r="AE110" s="1258"/>
      <c r="AF110" s="2333">
        <v>11</v>
      </c>
    </row>
    <row s="61193" customFormat="1" customHeight="1" ht="11.549999999999999">
      <c r="A111" s="1679"/>
      <c r="B111" s="2328"/>
      <c r="C111" s="2328"/>
      <c r="D111" s="1043"/>
      <c r="K111" s="1852"/>
      <c r="L111" s="2328"/>
      <c r="M111" s="2328"/>
      <c r="N111" s="1852"/>
      <c r="O111" s="1852"/>
      <c r="P111" s="1852"/>
      <c r="Q111" s="1852"/>
      <c r="R111" s="2328"/>
      <c r="S111" s="1852"/>
      <c r="T111" s="1852"/>
      <c r="U111" s="1236"/>
      <c r="V111" s="1852"/>
      <c r="W111" s="1852"/>
      <c r="X111" s="1852"/>
      <c r="Y111" s="1852"/>
      <c r="Z111" s="1852"/>
      <c r="AA111" s="2324"/>
      <c r="AB111" s="1258"/>
      <c r="AC111" s="1258"/>
      <c r="AD111" s="1258"/>
      <c r="AE111" s="1258"/>
      <c r="AF111" s="2333">
        <v>11</v>
      </c>
    </row>
    <row s="61193" customFormat="1" customHeight="1" ht="11.549999999999999">
      <c r="A112" s="1679"/>
      <c r="B112" s="2328"/>
      <c r="C112" s="2328"/>
      <c r="D112" s="1043"/>
      <c r="K112" s="1852"/>
      <c r="L112" s="2328"/>
      <c r="M112" s="2328"/>
      <c r="N112" s="1852"/>
      <c r="O112" s="1852"/>
      <c r="P112" s="1852"/>
      <c r="Q112" s="1852"/>
      <c r="R112" s="2328"/>
      <c r="S112" s="1852"/>
      <c r="T112" s="1852"/>
      <c r="U112" s="1236"/>
      <c r="V112" s="1852"/>
      <c r="W112" s="1852"/>
      <c r="X112" s="1852"/>
      <c r="Y112" s="1852"/>
      <c r="Z112" s="1852"/>
      <c r="AA112" s="2324"/>
      <c r="AB112" s="1258"/>
      <c r="AC112" s="1258"/>
      <c r="AD112" s="1258"/>
      <c r="AE112" s="1258"/>
      <c r="AF112" s="2333">
        <v>11</v>
      </c>
    </row>
    <row s="61193" customFormat="1" customHeight="1" ht="11.549999999999999">
      <c r="A113" s="1679"/>
      <c r="B113" s="2328"/>
      <c r="C113" s="2328"/>
      <c r="D113" s="1043"/>
      <c r="K113" s="1852"/>
      <c r="L113" s="2328"/>
      <c r="M113" s="2328"/>
      <c r="N113" s="1852"/>
      <c r="O113" s="1852"/>
      <c r="P113" s="1852"/>
      <c r="Q113" s="1852"/>
      <c r="R113" s="2328"/>
      <c r="S113" s="1852"/>
      <c r="T113" s="1852"/>
      <c r="U113" s="1236"/>
      <c r="V113" s="1852"/>
      <c r="W113" s="1852"/>
      <c r="X113" s="1852"/>
      <c r="Y113" s="1852"/>
      <c r="Z113" s="1852"/>
      <c r="AA113" s="2324"/>
      <c r="AB113" s="1258"/>
      <c r="AC113" s="1258"/>
      <c r="AD113" s="1258"/>
      <c r="AE113" s="1258"/>
      <c r="AF113" s="2333">
        <v>11</v>
      </c>
    </row>
    <row s="61193" customFormat="1" customHeight="1" ht="11.549999999999999">
      <c r="A114" s="1679"/>
      <c r="B114" s="2328"/>
      <c r="C114" s="2328"/>
      <c r="D114" s="1043"/>
      <c r="K114" s="1852"/>
      <c r="L114" s="2328"/>
      <c r="M114" s="2328"/>
      <c r="N114" s="1852"/>
      <c r="O114" s="1852"/>
      <c r="P114" s="1852"/>
      <c r="Q114" s="1852"/>
      <c r="R114" s="2328"/>
      <c r="S114" s="1852"/>
      <c r="T114" s="1852"/>
      <c r="U114" s="1236"/>
      <c r="V114" s="1852"/>
      <c r="W114" s="1852"/>
      <c r="X114" s="1852"/>
      <c r="Y114" s="1852"/>
      <c r="Z114" s="1852"/>
      <c r="AA114" s="2324"/>
      <c r="AB114" s="1258"/>
      <c r="AC114" s="1258"/>
      <c r="AD114" s="1258"/>
      <c r="AE114" s="1258"/>
      <c r="AF114" s="2333">
        <v>11</v>
      </c>
    </row>
    <row s="61193" customFormat="1" customHeight="1" ht="11.549999999999999">
      <c r="A115" s="1679"/>
      <c r="B115" s="2328"/>
      <c r="C115" s="2328"/>
      <c r="D115" s="1043"/>
      <c r="K115" s="1852"/>
      <c r="L115" s="2328"/>
      <c r="M115" s="2328"/>
      <c r="N115" s="1852"/>
      <c r="O115" s="1852"/>
      <c r="P115" s="1852"/>
      <c r="Q115" s="1852"/>
      <c r="R115" s="2328"/>
      <c r="S115" s="1852"/>
      <c r="T115" s="1852"/>
      <c r="U115" s="1236"/>
      <c r="V115" s="1852"/>
      <c r="W115" s="1852"/>
      <c r="X115" s="1852"/>
      <c r="Y115" s="1852"/>
      <c r="Z115" s="1852"/>
      <c r="AA115" s="2324"/>
      <c r="AB115" s="1258"/>
      <c r="AC115" s="1258"/>
      <c r="AD115" s="1258"/>
      <c r="AE115" s="1258"/>
      <c r="AF115" s="2333">
        <v>11</v>
      </c>
    </row>
    <row s="61193" customFormat="1" customHeight="1" ht="11.549999999999999">
      <c r="A116" s="1679"/>
      <c r="B116" s="2328"/>
      <c r="C116" s="2328"/>
      <c r="D116" s="1043"/>
      <c r="K116" s="1852"/>
      <c r="L116" s="2328"/>
      <c r="M116" s="2328"/>
      <c r="N116" s="1852"/>
      <c r="O116" s="1852"/>
      <c r="P116" s="1852"/>
      <c r="Q116" s="1852"/>
      <c r="R116" s="2328"/>
      <c r="S116" s="1852"/>
      <c r="T116" s="1852"/>
      <c r="U116" s="1236"/>
      <c r="V116" s="1852"/>
      <c r="W116" s="1852"/>
      <c r="X116" s="1852"/>
      <c r="Y116" s="1852"/>
      <c r="Z116" s="1852"/>
      <c r="AA116" s="2324"/>
      <c r="AB116" s="1258"/>
      <c r="AC116" s="1258"/>
      <c r="AD116" s="1258"/>
      <c r="AE116" s="1258"/>
      <c r="AF116" s="2333">
        <v>11</v>
      </c>
    </row>
    <row s="61193" customFormat="1" customHeight="1" ht="11.549999999999999">
      <c r="A117" s="1679"/>
      <c r="B117" s="2328"/>
      <c r="C117" s="2328"/>
      <c r="D117" s="1043"/>
      <c r="K117" s="1852"/>
      <c r="L117" s="2328"/>
      <c r="M117" s="2328"/>
      <c r="N117" s="1852"/>
      <c r="O117" s="1852"/>
      <c r="P117" s="1852"/>
      <c r="Q117" s="1852"/>
      <c r="R117" s="2328"/>
      <c r="S117" s="1852"/>
      <c r="T117" s="1852"/>
      <c r="U117" s="1236"/>
      <c r="V117" s="1852"/>
      <c r="W117" s="1852"/>
      <c r="X117" s="1852"/>
      <c r="Y117" s="1852"/>
      <c r="Z117" s="1852"/>
      <c r="AA117" s="2324"/>
      <c r="AB117" s="1258"/>
      <c r="AC117" s="1258"/>
      <c r="AD117" s="1258"/>
      <c r="AE117" s="1258"/>
      <c r="AF117" s="2333">
        <v>11</v>
      </c>
    </row>
    <row s="61193" customFormat="1" customHeight="1" ht="11.549999999999999">
      <c r="A118" s="1679"/>
      <c r="B118" s="2328"/>
      <c r="C118" s="2328"/>
      <c r="D118" s="1043"/>
      <c r="K118" s="1852"/>
      <c r="L118" s="2328"/>
      <c r="M118" s="2328"/>
      <c r="N118" s="1852"/>
      <c r="O118" s="1852"/>
      <c r="P118" s="1852"/>
      <c r="Q118" s="1852"/>
      <c r="R118" s="2328"/>
      <c r="S118" s="1852"/>
      <c r="T118" s="1852"/>
      <c r="U118" s="1236"/>
      <c r="V118" s="1852"/>
      <c r="W118" s="1852"/>
      <c r="X118" s="1852"/>
      <c r="Y118" s="1852"/>
      <c r="Z118" s="1852"/>
      <c r="AA118" s="2324"/>
      <c r="AB118" s="1258"/>
      <c r="AC118" s="1258"/>
      <c r="AD118" s="1258"/>
      <c r="AE118" s="1258"/>
      <c r="AF118" s="2333">
        <v>11</v>
      </c>
    </row>
    <row s="61193" customFormat="1" customHeight="1" ht="11.549999999999999">
      <c r="A119" s="1679"/>
      <c r="B119" s="2328"/>
      <c r="C119" s="2328"/>
      <c r="D119" s="1043"/>
      <c r="K119" s="1852"/>
      <c r="L119" s="2328"/>
      <c r="M119" s="2328"/>
      <c r="N119" s="1852"/>
      <c r="O119" s="1852"/>
      <c r="P119" s="1852"/>
      <c r="Q119" s="1852"/>
      <c r="R119" s="2328"/>
      <c r="S119" s="1852"/>
      <c r="T119" s="1852"/>
      <c r="U119" s="1236"/>
      <c r="V119" s="1852"/>
      <c r="W119" s="1852"/>
      <c r="X119" s="1852"/>
      <c r="Y119" s="1852"/>
      <c r="Z119" s="1852"/>
      <c r="AA119" s="2324"/>
      <c r="AB119" s="1258"/>
      <c r="AC119" s="1258"/>
      <c r="AD119" s="1258"/>
      <c r="AE119" s="1258"/>
      <c r="AF119" s="2333">
        <v>11</v>
      </c>
    </row>
    <row s="61193" customFormat="1" customHeight="1" ht="11.549999999999999">
      <c r="A120" s="1679"/>
      <c r="B120" s="2328"/>
      <c r="C120" s="2328"/>
      <c r="D120" s="1043"/>
      <c r="K120" s="1852"/>
      <c r="L120" s="2328"/>
      <c r="M120" s="2328"/>
      <c r="N120" s="1852"/>
      <c r="O120" s="1852"/>
      <c r="P120" s="1852"/>
      <c r="Q120" s="1852"/>
      <c r="R120" s="2328"/>
      <c r="S120" s="1852"/>
      <c r="T120" s="1852"/>
      <c r="U120" s="1236"/>
      <c r="V120" s="1852"/>
      <c r="W120" s="1852"/>
      <c r="X120" s="1852"/>
      <c r="Y120" s="1852"/>
      <c r="Z120" s="1852"/>
      <c r="AA120" s="2324"/>
      <c r="AB120" s="1258"/>
      <c r="AC120" s="1258"/>
      <c r="AD120" s="1258"/>
      <c r="AE120" s="1258"/>
      <c r="AF120" s="2333">
        <v>11</v>
      </c>
    </row>
    <row s="61193" customFormat="1" customHeight="1" ht="11.549999999999999">
      <c r="A121" s="1679"/>
      <c r="B121" s="2328"/>
      <c r="C121" s="2328"/>
      <c r="D121" s="1043"/>
      <c r="K121" s="1852"/>
      <c r="L121" s="2328"/>
      <c r="M121" s="2328"/>
      <c r="N121" s="1852"/>
      <c r="O121" s="1852"/>
      <c r="P121" s="1852"/>
      <c r="Q121" s="1852"/>
      <c r="R121" s="2328"/>
      <c r="S121" s="1852"/>
      <c r="T121" s="1852"/>
      <c r="U121" s="1236"/>
      <c r="V121" s="1852"/>
      <c r="W121" s="1852"/>
      <c r="X121" s="1852"/>
      <c r="Y121" s="1852"/>
      <c r="Z121" s="1852"/>
      <c r="AA121" s="2324"/>
      <c r="AB121" s="1258"/>
      <c r="AC121" s="1258"/>
      <c r="AD121" s="1258"/>
      <c r="AE121" s="1258"/>
      <c r="AF121" s="2333">
        <v>11</v>
      </c>
    </row>
    <row s="61193" customFormat="1" customHeight="1" ht="11.549999999999999">
      <c r="A122" s="1679"/>
      <c r="B122" s="2328"/>
      <c r="C122" s="2328"/>
      <c r="D122" s="1043"/>
      <c r="K122" s="1852"/>
      <c r="L122" s="2328"/>
      <c r="M122" s="2328"/>
      <c r="N122" s="1852"/>
      <c r="O122" s="1852"/>
      <c r="P122" s="1852"/>
      <c r="Q122" s="1852"/>
      <c r="R122" s="2328"/>
      <c r="S122" s="1852"/>
      <c r="T122" s="1852"/>
      <c r="U122" s="1236"/>
      <c r="V122" s="1852"/>
      <c r="W122" s="1852"/>
      <c r="X122" s="1852"/>
      <c r="Y122" s="1852"/>
      <c r="Z122" s="1852"/>
      <c r="AA122" s="2324"/>
      <c r="AB122" s="1258"/>
      <c r="AC122" s="1258"/>
      <c r="AD122" s="1258"/>
      <c r="AE122" s="1258"/>
      <c r="AF122" s="2333">
        <v>11</v>
      </c>
    </row>
    <row s="61193" customFormat="1" customHeight="1" ht="11.549999999999999">
      <c r="A123" s="1679"/>
      <c r="B123" s="2328"/>
      <c r="C123" s="2328"/>
      <c r="D123" s="1043"/>
      <c r="K123" s="1852"/>
      <c r="L123" s="2328"/>
      <c r="M123" s="2328"/>
      <c r="N123" s="1852"/>
      <c r="O123" s="1852"/>
      <c r="P123" s="1852"/>
      <c r="Q123" s="1852"/>
      <c r="R123" s="2328"/>
      <c r="S123" s="1852"/>
      <c r="T123" s="1852"/>
      <c r="U123" s="1236"/>
      <c r="V123" s="1852"/>
      <c r="W123" s="1852"/>
      <c r="X123" s="1852"/>
      <c r="Y123" s="1852"/>
      <c r="Z123" s="1852"/>
      <c r="AA123" s="2324"/>
      <c r="AB123" s="1258"/>
      <c r="AC123" s="1258"/>
      <c r="AD123" s="1258"/>
      <c r="AE123" s="1258"/>
      <c r="AF123" s="2333">
        <v>11</v>
      </c>
    </row>
    <row s="61193" customFormat="1" customHeight="1" ht="11.549999999999999">
      <c r="A124" s="1679"/>
      <c r="B124" s="2328"/>
      <c r="C124" s="2328"/>
      <c r="D124" s="1043"/>
      <c r="K124" s="1852"/>
      <c r="L124" s="2328"/>
      <c r="M124" s="2328"/>
      <c r="N124" s="1852"/>
      <c r="O124" s="1852"/>
      <c r="P124" s="1852"/>
      <c r="Q124" s="1852"/>
      <c r="R124" s="2328"/>
      <c r="S124" s="1852"/>
      <c r="T124" s="1852"/>
      <c r="U124" s="1236"/>
      <c r="V124" s="1852"/>
      <c r="W124" s="1852"/>
      <c r="X124" s="1852"/>
      <c r="Y124" s="1852"/>
      <c r="Z124" s="1852"/>
      <c r="AA124" s="2324"/>
      <c r="AB124" s="1258"/>
      <c r="AC124" s="1258"/>
      <c r="AD124" s="1258"/>
      <c r="AE124" s="1258"/>
      <c r="AF124" s="2333">
        <v>11</v>
      </c>
    </row>
    <row s="61193" customFormat="1" customHeight="1" ht="11.549999999999999">
      <c r="A125" s="1679"/>
      <c r="B125" s="2328"/>
      <c r="C125" s="2328"/>
      <c r="D125" s="1043"/>
      <c r="K125" s="1852"/>
      <c r="L125" s="2328"/>
      <c r="M125" s="2328"/>
      <c r="N125" s="1852"/>
      <c r="O125" s="1852"/>
      <c r="P125" s="1852"/>
      <c r="Q125" s="1852"/>
      <c r="R125" s="2328"/>
      <c r="S125" s="1852"/>
      <c r="T125" s="1852"/>
      <c r="U125" s="1236"/>
      <c r="V125" s="1852"/>
      <c r="W125" s="1852"/>
      <c r="X125" s="1852"/>
      <c r="Y125" s="1852"/>
      <c r="Z125" s="1852"/>
      <c r="AA125" s="2324"/>
      <c r="AB125" s="1258"/>
      <c r="AC125" s="1258"/>
      <c r="AD125" s="1258"/>
      <c r="AE125" s="1258"/>
      <c r="AF125" s="2333">
        <v>11</v>
      </c>
    </row>
    <row s="61193" customFormat="1" customHeight="1" ht="11.549999999999999">
      <c r="A126" s="1679"/>
      <c r="B126" s="2328"/>
      <c r="C126" s="2328"/>
      <c r="D126" s="1043"/>
      <c r="K126" s="1852"/>
      <c r="L126" s="2328"/>
      <c r="M126" s="2328"/>
      <c r="N126" s="1852"/>
      <c r="O126" s="1852"/>
      <c r="P126" s="1852"/>
      <c r="Q126" s="1852"/>
      <c r="R126" s="2328"/>
      <c r="S126" s="1852"/>
      <c r="T126" s="1852"/>
      <c r="U126" s="1236"/>
      <c r="V126" s="1852"/>
      <c r="W126" s="1852"/>
      <c r="X126" s="1852"/>
      <c r="Y126" s="1852"/>
      <c r="Z126" s="1852"/>
      <c r="AA126" s="2324"/>
      <c r="AB126" s="1258"/>
      <c r="AC126" s="1258"/>
      <c r="AD126" s="1258"/>
      <c r="AE126" s="1258"/>
      <c r="AF126" s="2333">
        <v>11</v>
      </c>
    </row>
    <row s="61193" customFormat="1" customHeight="1" ht="11.549999999999999">
      <c r="A127" s="1679"/>
      <c r="B127" s="2328"/>
      <c r="C127" s="2328"/>
      <c r="D127" s="1043"/>
      <c r="K127" s="1852"/>
      <c r="L127" s="2328"/>
      <c r="M127" s="2328"/>
      <c r="N127" s="1852"/>
      <c r="O127" s="1852"/>
      <c r="P127" s="1852"/>
      <c r="Q127" s="1852"/>
      <c r="R127" s="2328"/>
      <c r="S127" s="1852"/>
      <c r="T127" s="1852"/>
      <c r="U127" s="1236"/>
      <c r="V127" s="1852"/>
      <c r="W127" s="1852"/>
      <c r="X127" s="1852"/>
      <c r="Y127" s="1852"/>
      <c r="Z127" s="1852"/>
      <c r="AA127" s="2324"/>
      <c r="AB127" s="1258"/>
      <c r="AC127" s="1258"/>
      <c r="AD127" s="1258"/>
      <c r="AE127" s="1258"/>
      <c r="AF127" s="2333">
        <v>11</v>
      </c>
    </row>
    <row s="61193" customFormat="1" customHeight="1" ht="11.549999999999999">
      <c r="A128" s="1679"/>
      <c r="B128" s="2328"/>
      <c r="C128" s="2328"/>
      <c r="D128" s="1043"/>
      <c r="K128" s="1852"/>
      <c r="L128" s="2328"/>
      <c r="M128" s="2328"/>
      <c r="N128" s="1852"/>
      <c r="O128" s="1852"/>
      <c r="P128" s="1852"/>
      <c r="Q128" s="1852"/>
      <c r="R128" s="2328"/>
      <c r="S128" s="1852"/>
      <c r="T128" s="1852"/>
      <c r="U128" s="1236"/>
      <c r="V128" s="1852"/>
      <c r="W128" s="1852"/>
      <c r="X128" s="1852"/>
      <c r="Y128" s="1852"/>
      <c r="Z128" s="1852"/>
      <c r="AA128" s="2324"/>
      <c r="AB128" s="1258"/>
      <c r="AC128" s="1258"/>
      <c r="AD128" s="1258"/>
      <c r="AE128" s="1258"/>
      <c r="AF128" s="2333">
        <v>11</v>
      </c>
    </row>
    <row s="61193" customFormat="1" customHeight="1" ht="11.549999999999999">
      <c r="A129" s="1679"/>
      <c r="B129" s="2328"/>
      <c r="C129" s="2328"/>
      <c r="D129" s="1043"/>
      <c r="K129" s="1852"/>
      <c r="L129" s="2328"/>
      <c r="M129" s="2328"/>
      <c r="N129" s="1852"/>
      <c r="O129" s="1852"/>
      <c r="P129" s="1852"/>
      <c r="Q129" s="1852"/>
      <c r="R129" s="2328"/>
      <c r="S129" s="1852"/>
      <c r="T129" s="1852"/>
      <c r="U129" s="1236"/>
      <c r="V129" s="1852"/>
      <c r="W129" s="1852"/>
      <c r="X129" s="1852"/>
      <c r="Y129" s="1852"/>
      <c r="Z129" s="1852"/>
      <c r="AA129" s="2324"/>
      <c r="AB129" s="1258"/>
      <c r="AC129" s="1258"/>
      <c r="AD129" s="1258"/>
      <c r="AE129" s="1258"/>
      <c r="AF129" s="2333">
        <v>11</v>
      </c>
    </row>
    <row s="61193" customFormat="1" customHeight="1" ht="11.549999999999999">
      <c r="A130" s="1679"/>
      <c r="B130" s="2328"/>
      <c r="C130" s="2328"/>
      <c r="D130" s="1043"/>
      <c r="K130" s="1852"/>
      <c r="L130" s="2328"/>
      <c r="M130" s="2328"/>
      <c r="N130" s="1852"/>
      <c r="O130" s="1852"/>
      <c r="P130" s="1852"/>
      <c r="Q130" s="1852"/>
      <c r="R130" s="2328"/>
      <c r="S130" s="1852"/>
      <c r="T130" s="1852"/>
      <c r="U130" s="1236"/>
      <c r="V130" s="1852"/>
      <c r="W130" s="1852"/>
      <c r="X130" s="1852"/>
      <c r="Y130" s="1852"/>
      <c r="Z130" s="1852"/>
      <c r="AA130" s="2324"/>
      <c r="AB130" s="1258"/>
      <c r="AC130" s="1258"/>
      <c r="AD130" s="1258"/>
      <c r="AE130" s="1258"/>
      <c r="AF130" s="2333">
        <v>11</v>
      </c>
    </row>
    <row s="61193" customFormat="1" customHeight="1" ht="11.549999999999999">
      <c r="A131" s="1679"/>
      <c r="B131" s="2328"/>
      <c r="C131" s="2328"/>
      <c r="D131" s="1043"/>
      <c r="K131" s="1852"/>
      <c r="L131" s="2328"/>
      <c r="M131" s="2328"/>
      <c r="N131" s="1852"/>
      <c r="O131" s="1852"/>
      <c r="P131" s="1852"/>
      <c r="Q131" s="1852"/>
      <c r="R131" s="2328"/>
      <c r="S131" s="1852"/>
      <c r="T131" s="1852"/>
      <c r="U131" s="1236"/>
      <c r="V131" s="1852"/>
      <c r="W131" s="1852"/>
      <c r="X131" s="1852"/>
      <c r="Y131" s="1852"/>
      <c r="Z131" s="1852"/>
      <c r="AA131" s="2324"/>
      <c r="AB131" s="1258"/>
      <c r="AC131" s="1258"/>
      <c r="AD131" s="1258"/>
      <c r="AE131" s="1258"/>
      <c r="AF131" s="2333">
        <v>11</v>
      </c>
    </row>
    <row s="61193" customFormat="1" customHeight="1" ht="11.549999999999999">
      <c r="A132" s="1679"/>
      <c r="B132" s="2328"/>
      <c r="C132" s="2328"/>
      <c r="D132" s="1043"/>
      <c r="K132" s="1852"/>
      <c r="L132" s="2328"/>
      <c r="M132" s="2328"/>
      <c r="N132" s="1852"/>
      <c r="O132" s="1852"/>
      <c r="P132" s="1852"/>
      <c r="Q132" s="1852"/>
      <c r="R132" s="2328"/>
      <c r="S132" s="1852"/>
      <c r="T132" s="1852"/>
      <c r="U132" s="1236"/>
      <c r="V132" s="1852"/>
      <c r="W132" s="1852"/>
      <c r="X132" s="1852"/>
      <c r="Y132" s="1852"/>
      <c r="Z132" s="1852"/>
      <c r="AA132" s="2324"/>
      <c r="AB132" s="1258"/>
      <c r="AC132" s="1258"/>
      <c r="AD132" s="1258"/>
      <c r="AE132" s="1258"/>
      <c r="AF132" s="2333">
        <v>11</v>
      </c>
    </row>
    <row s="61193" customFormat="1" customHeight="1" ht="11.549999999999999">
      <c r="A133" s="1679"/>
      <c r="B133" s="2328"/>
      <c r="C133" s="2328"/>
      <c r="D133" s="1043"/>
      <c r="K133" s="1852"/>
      <c r="L133" s="2328"/>
      <c r="M133" s="2328"/>
      <c r="N133" s="1852"/>
      <c r="O133" s="1852"/>
      <c r="P133" s="1852"/>
      <c r="Q133" s="1852"/>
      <c r="R133" s="2328"/>
      <c r="S133" s="1852"/>
      <c r="T133" s="1852"/>
      <c r="U133" s="1236"/>
      <c r="V133" s="1852"/>
      <c r="W133" s="1852"/>
      <c r="X133" s="1852"/>
      <c r="Y133" s="1852"/>
      <c r="Z133" s="1852"/>
      <c r="AA133" s="2324"/>
      <c r="AB133" s="1258"/>
      <c r="AC133" s="1258"/>
      <c r="AD133" s="1258"/>
      <c r="AE133" s="1258"/>
      <c r="AF133" s="2333">
        <v>11</v>
      </c>
    </row>
    <row s="61193" customFormat="1" customHeight="1" ht="11.549999999999999">
      <c r="A134" s="1679"/>
      <c r="B134" s="2328"/>
      <c r="C134" s="2328"/>
      <c r="D134" s="1043"/>
      <c r="K134" s="1852"/>
      <c r="L134" s="2328"/>
      <c r="M134" s="2328"/>
      <c r="N134" s="1852"/>
      <c r="O134" s="1852"/>
      <c r="P134" s="1852"/>
      <c r="Q134" s="1852"/>
      <c r="R134" s="2328"/>
      <c r="S134" s="1852"/>
      <c r="T134" s="1852"/>
      <c r="U134" s="1236"/>
      <c r="V134" s="1852"/>
      <c r="W134" s="1852"/>
      <c r="X134" s="1852"/>
      <c r="Y134" s="1852"/>
      <c r="Z134" s="1852"/>
      <c r="AA134" s="2324"/>
      <c r="AB134" s="1258"/>
      <c r="AC134" s="1258"/>
      <c r="AD134" s="1258"/>
      <c r="AE134" s="1258"/>
      <c r="AF134" s="2333">
        <v>11</v>
      </c>
    </row>
    <row s="61193" customFormat="1" customHeight="1" ht="11.549999999999999">
      <c r="A135" s="1679"/>
      <c r="B135" s="2328"/>
      <c r="C135" s="2328"/>
      <c r="D135" s="1043"/>
      <c r="K135" s="1852"/>
      <c r="L135" s="2328"/>
      <c r="M135" s="2328"/>
      <c r="N135" s="1852"/>
      <c r="O135" s="1852"/>
      <c r="P135" s="1852"/>
      <c r="Q135" s="1852"/>
      <c r="R135" s="2328"/>
      <c r="S135" s="1852"/>
      <c r="T135" s="1852"/>
      <c r="U135" s="1236"/>
      <c r="V135" s="1852"/>
      <c r="W135" s="1852"/>
      <c r="X135" s="1852"/>
      <c r="Y135" s="1852"/>
      <c r="Z135" s="1852"/>
      <c r="AA135" s="2324"/>
      <c r="AB135" s="1258"/>
      <c r="AC135" s="1258"/>
      <c r="AD135" s="1258"/>
      <c r="AE135" s="1258"/>
      <c r="AF135" s="2333">
        <v>11</v>
      </c>
    </row>
    <row s="61193" customFormat="1" customHeight="1" ht="11.549999999999999">
      <c r="A136" s="1679"/>
      <c r="B136" s="2328"/>
      <c r="C136" s="2328"/>
      <c r="D136" s="1043"/>
      <c r="K136" s="1852"/>
      <c r="L136" s="2328"/>
      <c r="M136" s="2328"/>
      <c r="N136" s="1852"/>
      <c r="O136" s="1852"/>
      <c r="P136" s="1852"/>
      <c r="Q136" s="1852"/>
      <c r="R136" s="2328"/>
      <c r="S136" s="1852"/>
      <c r="T136" s="1852"/>
      <c r="U136" s="1236"/>
      <c r="V136" s="1852"/>
      <c r="W136" s="1852"/>
      <c r="X136" s="1852"/>
      <c r="Y136" s="1852"/>
      <c r="Z136" s="1852"/>
      <c r="AA136" s="2324"/>
      <c r="AB136" s="1258"/>
      <c r="AC136" s="1258"/>
      <c r="AD136" s="1258"/>
      <c r="AE136" s="1258"/>
      <c r="AF136" s="2333">
        <v>11</v>
      </c>
    </row>
    <row s="61193" customFormat="1" customHeight="1" ht="11.549999999999999">
      <c r="A137" s="1679"/>
      <c r="B137" s="2328"/>
      <c r="C137" s="2328"/>
      <c r="D137" s="1043"/>
      <c r="K137" s="1852"/>
      <c r="L137" s="2328"/>
      <c r="M137" s="2328"/>
      <c r="N137" s="1852"/>
      <c r="O137" s="1852"/>
      <c r="P137" s="1852"/>
      <c r="Q137" s="1852"/>
      <c r="R137" s="2328"/>
      <c r="S137" s="1852"/>
      <c r="T137" s="1852"/>
      <c r="U137" s="1236"/>
      <c r="V137" s="1852"/>
      <c r="W137" s="1852"/>
      <c r="X137" s="1852"/>
      <c r="Y137" s="1852"/>
      <c r="Z137" s="1852"/>
      <c r="AA137" s="2324"/>
      <c r="AB137" s="1258"/>
      <c r="AC137" s="1258"/>
      <c r="AD137" s="1258"/>
      <c r="AE137" s="1258"/>
      <c r="AF137" s="2333">
        <v>11</v>
      </c>
    </row>
    <row s="61193" customFormat="1" customHeight="1" ht="11.549999999999999">
      <c r="A138" s="1679"/>
      <c r="B138" s="2328"/>
      <c r="C138" s="2328"/>
      <c r="D138" s="1043"/>
      <c r="K138" s="1852"/>
      <c r="L138" s="2328"/>
      <c r="M138" s="2328"/>
      <c r="N138" s="1852"/>
      <c r="O138" s="1852"/>
      <c r="P138" s="1852"/>
      <c r="Q138" s="1852"/>
      <c r="R138" s="2328"/>
      <c r="S138" s="1852"/>
      <c r="T138" s="1852"/>
      <c r="U138" s="1236"/>
      <c r="V138" s="1852"/>
      <c r="W138" s="1852"/>
      <c r="X138" s="1852"/>
      <c r="Y138" s="1852"/>
      <c r="Z138" s="1852"/>
      <c r="AA138" s="2324"/>
      <c r="AB138" s="1258"/>
      <c r="AC138" s="1258"/>
      <c r="AD138" s="1258"/>
      <c r="AE138" s="1258"/>
      <c r="AF138" s="2333">
        <v>11</v>
      </c>
    </row>
    <row s="61193" customFormat="1" customHeight="1" ht="11.549999999999999">
      <c r="A139" s="1679"/>
      <c r="B139" s="2328"/>
      <c r="C139" s="2328"/>
      <c r="D139" s="1043"/>
      <c r="K139" s="1852"/>
      <c r="L139" s="2328"/>
      <c r="M139" s="2328"/>
      <c r="N139" s="1852"/>
      <c r="O139" s="1852"/>
      <c r="P139" s="1852"/>
      <c r="Q139" s="1852"/>
      <c r="R139" s="2328"/>
      <c r="S139" s="1852"/>
      <c r="T139" s="1852"/>
      <c r="U139" s="1236"/>
      <c r="V139" s="1852"/>
      <c r="W139" s="1852"/>
      <c r="X139" s="1852"/>
      <c r="Y139" s="1852"/>
      <c r="Z139" s="1852"/>
      <c r="AA139" s="2324"/>
      <c r="AB139" s="1258"/>
      <c r="AC139" s="1258"/>
      <c r="AD139" s="1258"/>
      <c r="AE139" s="1258"/>
      <c r="AF139" s="2333">
        <v>11</v>
      </c>
    </row>
    <row s="61193" customFormat="1" customHeight="1" ht="11.549999999999999">
      <c r="A140" s="1679"/>
      <c r="B140" s="2328"/>
      <c r="C140" s="2328"/>
      <c r="D140" s="1043"/>
      <c r="K140" s="1852"/>
      <c r="L140" s="2328"/>
      <c r="M140" s="2328"/>
      <c r="N140" s="1852"/>
      <c r="O140" s="1852"/>
      <c r="P140" s="1852"/>
      <c r="Q140" s="1852"/>
      <c r="R140" s="2328"/>
      <c r="S140" s="1852"/>
      <c r="T140" s="1852"/>
      <c r="U140" s="1236"/>
      <c r="V140" s="1852"/>
      <c r="W140" s="1852"/>
      <c r="X140" s="1852"/>
      <c r="Y140" s="1852"/>
      <c r="Z140" s="1852"/>
      <c r="AA140" s="2324"/>
      <c r="AB140" s="1258"/>
      <c r="AC140" s="1258"/>
      <c r="AD140" s="1258"/>
      <c r="AE140" s="1258"/>
      <c r="AF140" s="2333">
        <v>11</v>
      </c>
    </row>
    <row s="61193" customFormat="1" customHeight="1" ht="11.549999999999999">
      <c r="A141" s="1679"/>
      <c r="B141" s="2328"/>
      <c r="C141" s="2328"/>
      <c r="D141" s="1043"/>
      <c r="K141" s="1852"/>
      <c r="L141" s="2328"/>
      <c r="M141" s="2328"/>
      <c r="N141" s="1852"/>
      <c r="O141" s="1852"/>
      <c r="P141" s="1852"/>
      <c r="Q141" s="1852"/>
      <c r="R141" s="2328"/>
      <c r="S141" s="1852"/>
      <c r="T141" s="1852"/>
      <c r="U141" s="1236"/>
      <c r="V141" s="1852"/>
      <c r="W141" s="1852"/>
      <c r="X141" s="1852"/>
      <c r="Y141" s="1852"/>
      <c r="Z141" s="1852"/>
      <c r="AA141" s="2324"/>
      <c r="AB141" s="1258"/>
      <c r="AC141" s="1258"/>
      <c r="AD141" s="1258"/>
      <c r="AE141" s="1258"/>
      <c r="AF141" s="2333">
        <v>11</v>
      </c>
    </row>
    <row s="61193" customFormat="1" customHeight="1" ht="11.549999999999999">
      <c r="A142" s="1679"/>
      <c r="B142" s="2328"/>
      <c r="C142" s="2328"/>
      <c r="D142" s="1043"/>
      <c r="K142" s="1852"/>
      <c r="L142" s="2328"/>
      <c r="M142" s="2328"/>
      <c r="N142" s="1852"/>
      <c r="O142" s="1852"/>
      <c r="P142" s="1852"/>
      <c r="Q142" s="1852"/>
      <c r="R142" s="2328"/>
      <c r="S142" s="1852"/>
      <c r="T142" s="1852"/>
      <c r="U142" s="1236"/>
      <c r="V142" s="1852"/>
      <c r="W142" s="1852"/>
      <c r="X142" s="1852"/>
      <c r="Y142" s="1852"/>
      <c r="Z142" s="1852"/>
      <c r="AA142" s="2324"/>
      <c r="AB142" s="1258"/>
      <c r="AC142" s="1258"/>
      <c r="AD142" s="1258"/>
      <c r="AE142" s="1258"/>
      <c r="AF142" s="2333">
        <v>11</v>
      </c>
    </row>
    <row s="61193" customFormat="1" customHeight="1" ht="11.549999999999999">
      <c r="A143" s="1679"/>
      <c r="B143" s="2328"/>
      <c r="C143" s="2328"/>
      <c r="D143" s="1043"/>
      <c r="K143" s="1852"/>
      <c r="L143" s="2328"/>
      <c r="M143" s="2328"/>
      <c r="N143" s="1852"/>
      <c r="O143" s="1852"/>
      <c r="P143" s="1852"/>
      <c r="Q143" s="1852"/>
      <c r="R143" s="2328"/>
      <c r="S143" s="1852"/>
      <c r="T143" s="1852"/>
      <c r="U143" s="1236"/>
      <c r="V143" s="1852"/>
      <c r="W143" s="1852"/>
      <c r="X143" s="1852"/>
      <c r="Y143" s="1852"/>
      <c r="Z143" s="1852"/>
      <c r="AA143" s="2324"/>
      <c r="AB143" s="1258"/>
      <c r="AC143" s="1258"/>
      <c r="AD143" s="1258"/>
      <c r="AE143" s="1258"/>
      <c r="AF143" s="2333">
        <v>11</v>
      </c>
    </row>
    <row s="61193" customFormat="1" customHeight="1" ht="11.549999999999999">
      <c r="A144" s="1679"/>
      <c r="B144" s="2328"/>
      <c r="C144" s="2328"/>
      <c r="D144" s="1043"/>
      <c r="K144" s="1852"/>
      <c r="L144" s="2328"/>
      <c r="M144" s="2328"/>
      <c r="N144" s="1852"/>
      <c r="O144" s="1852"/>
      <c r="P144" s="1852"/>
      <c r="Q144" s="1852"/>
      <c r="R144" s="2328"/>
      <c r="S144" s="1852"/>
      <c r="T144" s="1852"/>
      <c r="U144" s="1236"/>
      <c r="V144" s="1852"/>
      <c r="W144" s="1852"/>
      <c r="X144" s="1852"/>
      <c r="Y144" s="1852"/>
      <c r="Z144" s="1852"/>
      <c r="AA144" s="2324"/>
      <c r="AB144" s="1258"/>
      <c r="AC144" s="1258"/>
      <c r="AD144" s="1258"/>
      <c r="AE144" s="1258"/>
      <c r="AF144" s="2333">
        <v>11</v>
      </c>
    </row>
    <row s="61193" customFormat="1" customHeight="1" ht="11.549999999999999">
      <c r="A145" s="1679"/>
      <c r="B145" s="2328"/>
      <c r="C145" s="2328"/>
      <c r="D145" s="1043"/>
      <c r="K145" s="1852"/>
      <c r="L145" s="2328"/>
      <c r="M145" s="2328"/>
      <c r="N145" s="1852"/>
      <c r="O145" s="1852"/>
      <c r="P145" s="1852"/>
      <c r="Q145" s="1852"/>
      <c r="R145" s="2328"/>
      <c r="S145" s="1852"/>
      <c r="T145" s="1852"/>
      <c r="U145" s="1236"/>
      <c r="V145" s="1852"/>
      <c r="W145" s="1852"/>
      <c r="X145" s="1852"/>
      <c r="Y145" s="1852"/>
      <c r="Z145" s="1852"/>
      <c r="AA145" s="2324"/>
      <c r="AB145" s="1258"/>
      <c r="AC145" s="1258"/>
      <c r="AD145" s="1258"/>
      <c r="AE145" s="1258"/>
      <c r="AF145" s="2333">
        <v>11</v>
      </c>
    </row>
    <row s="61193" customFormat="1" customHeight="1" ht="11.549999999999999">
      <c r="A146" s="1679"/>
      <c r="B146" s="2328"/>
      <c r="C146" s="2328"/>
      <c r="D146" s="1043"/>
      <c r="K146" s="1852"/>
      <c r="L146" s="2328"/>
      <c r="M146" s="2328"/>
      <c r="N146" s="1852"/>
      <c r="O146" s="1852"/>
      <c r="P146" s="1852"/>
      <c r="Q146" s="1852"/>
      <c r="R146" s="2328"/>
      <c r="S146" s="1852"/>
      <c r="T146" s="1852"/>
      <c r="U146" s="1236"/>
      <c r="V146" s="1852"/>
      <c r="W146" s="1852"/>
      <c r="X146" s="1852"/>
      <c r="Y146" s="1852"/>
      <c r="Z146" s="1852"/>
      <c r="AA146" s="2324"/>
      <c r="AB146" s="1258"/>
      <c r="AC146" s="1258"/>
      <c r="AD146" s="1258"/>
      <c r="AE146" s="1258"/>
      <c r="AF146" s="2333">
        <v>11</v>
      </c>
    </row>
    <row s="61193" customFormat="1" customHeight="1" ht="11.549999999999999">
      <c r="A147" s="1679"/>
      <c r="B147" s="2328"/>
      <c r="C147" s="2328"/>
      <c r="D147" s="1043"/>
      <c r="K147" s="1852"/>
      <c r="L147" s="2328"/>
      <c r="M147" s="2328"/>
      <c r="N147" s="1852"/>
      <c r="O147" s="1852"/>
      <c r="P147" s="1852"/>
      <c r="Q147" s="1852"/>
      <c r="R147" s="2328"/>
      <c r="S147" s="1852"/>
      <c r="T147" s="1852"/>
      <c r="U147" s="1236"/>
      <c r="V147" s="1852"/>
      <c r="W147" s="1852"/>
      <c r="X147" s="1852"/>
      <c r="Y147" s="1852"/>
      <c r="Z147" s="1852"/>
      <c r="AA147" s="2324"/>
      <c r="AB147" s="1258"/>
      <c r="AC147" s="1258"/>
      <c r="AD147" s="1258"/>
      <c r="AE147" s="1258"/>
      <c r="AF147" s="2333">
        <v>11</v>
      </c>
    </row>
    <row s="61193" customFormat="1" customHeight="1" ht="11.549999999999999">
      <c r="A148" s="1679"/>
      <c r="B148" s="2328"/>
      <c r="C148" s="2328"/>
      <c r="D148" s="1043"/>
      <c r="K148" s="1852"/>
      <c r="L148" s="2328"/>
      <c r="M148" s="2328"/>
      <c r="N148" s="1852"/>
      <c r="O148" s="1852"/>
      <c r="P148" s="1852"/>
      <c r="Q148" s="1852"/>
      <c r="R148" s="2328"/>
      <c r="S148" s="1852"/>
      <c r="T148" s="1852"/>
      <c r="U148" s="1236"/>
      <c r="V148" s="1852"/>
      <c r="W148" s="1852"/>
      <c r="X148" s="1852"/>
      <c r="Y148" s="1852"/>
      <c r="Z148" s="1852"/>
      <c r="AA148" s="2324"/>
      <c r="AB148" s="1258"/>
      <c r="AC148" s="1258"/>
      <c r="AD148" s="1258"/>
      <c r="AE148" s="1258"/>
      <c r="AF148" s="2333">
        <v>11</v>
      </c>
    </row>
    <row s="61193" customFormat="1" customHeight="1" ht="11.549999999999999">
      <c r="A149" s="1679"/>
      <c r="B149" s="2328"/>
      <c r="C149" s="2328"/>
      <c r="D149" s="1043"/>
      <c r="K149" s="1852"/>
      <c r="L149" s="2328"/>
      <c r="M149" s="2328"/>
      <c r="N149" s="1852"/>
      <c r="O149" s="1852"/>
      <c r="P149" s="1852"/>
      <c r="Q149" s="1852"/>
      <c r="R149" s="2328"/>
      <c r="S149" s="1852"/>
      <c r="T149" s="1852"/>
      <c r="U149" s="1236"/>
      <c r="V149" s="1852"/>
      <c r="W149" s="1852"/>
      <c r="X149" s="1852"/>
      <c r="Y149" s="1852"/>
      <c r="Z149" s="1852"/>
      <c r="AA149" s="2324"/>
      <c r="AB149" s="1258"/>
      <c r="AC149" s="1258"/>
      <c r="AD149" s="1258"/>
      <c r="AE149" s="1258"/>
      <c r="AF149" s="2333">
        <v>11</v>
      </c>
    </row>
    <row s="61193" customFormat="1" customHeight="1" ht="11.549999999999999">
      <c r="A150" s="1679"/>
      <c r="B150" s="2328"/>
      <c r="C150" s="2328"/>
      <c r="D150" s="1043"/>
      <c r="K150" s="1852"/>
      <c r="L150" s="2328"/>
      <c r="M150" s="2328"/>
      <c r="N150" s="1852"/>
      <c r="O150" s="1852"/>
      <c r="P150" s="1852"/>
      <c r="Q150" s="1852"/>
      <c r="R150" s="2328"/>
      <c r="S150" s="1852"/>
      <c r="T150" s="1852"/>
      <c r="U150" s="1236"/>
      <c r="V150" s="1852"/>
      <c r="W150" s="1852"/>
      <c r="X150" s="1852"/>
      <c r="Y150" s="1852"/>
      <c r="Z150" s="1852"/>
      <c r="AA150" s="2324"/>
      <c r="AB150" s="1258"/>
      <c r="AC150" s="1258"/>
      <c r="AD150" s="1258"/>
      <c r="AE150" s="1258"/>
      <c r="AF150" s="2333">
        <v>11</v>
      </c>
    </row>
    <row s="61193" customFormat="1" customHeight="1" ht="11.549999999999999">
      <c r="A151" s="1679"/>
      <c r="B151" s="2328"/>
      <c r="C151" s="2328"/>
      <c r="D151" s="1043"/>
      <c r="K151" s="1852"/>
      <c r="L151" s="2328"/>
      <c r="M151" s="2328"/>
      <c r="N151" s="1852"/>
      <c r="O151" s="1852"/>
      <c r="P151" s="1852"/>
      <c r="Q151" s="1852"/>
      <c r="R151" s="2328"/>
      <c r="S151" s="1852"/>
      <c r="T151" s="1852"/>
      <c r="U151" s="1236"/>
      <c r="V151" s="1852"/>
      <c r="W151" s="1852"/>
      <c r="X151" s="1852"/>
      <c r="Y151" s="1852"/>
      <c r="Z151" s="1852"/>
      <c r="AA151" s="2324"/>
      <c r="AB151" s="1258"/>
      <c r="AC151" s="1258"/>
      <c r="AD151" s="1258"/>
      <c r="AE151" s="1258"/>
      <c r="AF151" s="2333">
        <v>11</v>
      </c>
    </row>
    <row s="61193" customFormat="1" customHeight="1" ht="11.549999999999999">
      <c r="A152" s="1679"/>
      <c r="B152" s="2328"/>
      <c r="C152" s="2328"/>
      <c r="D152" s="1043"/>
      <c r="K152" s="1852"/>
      <c r="L152" s="2328"/>
      <c r="M152" s="2328"/>
      <c r="N152" s="1852"/>
      <c r="O152" s="1852"/>
      <c r="P152" s="1852"/>
      <c r="Q152" s="1852"/>
      <c r="R152" s="2328"/>
      <c r="S152" s="1852"/>
      <c r="T152" s="1852"/>
      <c r="U152" s="1236"/>
      <c r="V152" s="1852"/>
      <c r="W152" s="1852"/>
      <c r="X152" s="1852"/>
      <c r="Y152" s="1852"/>
      <c r="Z152" s="1852"/>
      <c r="AA152" s="2324"/>
      <c r="AB152" s="1258"/>
      <c r="AC152" s="1258"/>
      <c r="AD152" s="1258"/>
      <c r="AE152" s="1258"/>
      <c r="AF152" s="2333">
        <v>11</v>
      </c>
    </row>
    <row s="61193" customFormat="1" customHeight="1" ht="11.549999999999999">
      <c r="A153" s="1679"/>
      <c r="B153" s="2328"/>
      <c r="C153" s="2328"/>
      <c r="D153" s="1043"/>
      <c r="K153" s="1852"/>
      <c r="L153" s="2328"/>
      <c r="M153" s="2328"/>
      <c r="N153" s="1852"/>
      <c r="O153" s="1852"/>
      <c r="P153" s="1852"/>
      <c r="Q153" s="1852"/>
      <c r="R153" s="2328"/>
      <c r="S153" s="1852"/>
      <c r="T153" s="1852"/>
      <c r="U153" s="1236"/>
      <c r="V153" s="1852"/>
      <c r="W153" s="1852"/>
      <c r="X153" s="1852"/>
      <c r="Y153" s="1852"/>
      <c r="Z153" s="1852"/>
      <c r="AA153" s="2324"/>
      <c r="AB153" s="1258"/>
      <c r="AC153" s="1258"/>
      <c r="AD153" s="1258"/>
      <c r="AE153" s="1258"/>
      <c r="AF153" s="2333">
        <v>11</v>
      </c>
    </row>
    <row s="61193" customFormat="1" customHeight="1" ht="11.549999999999999">
      <c r="A154" s="1679"/>
      <c r="B154" s="2328"/>
      <c r="C154" s="2328"/>
      <c r="D154" s="1043"/>
      <c r="K154" s="1852"/>
      <c r="L154" s="2328"/>
      <c r="M154" s="2328"/>
      <c r="N154" s="1852"/>
      <c r="O154" s="1852"/>
      <c r="P154" s="1852"/>
      <c r="Q154" s="1852"/>
      <c r="R154" s="2328"/>
      <c r="S154" s="1852"/>
      <c r="T154" s="1852"/>
      <c r="U154" s="1236"/>
      <c r="V154" s="1852"/>
      <c r="W154" s="1852"/>
      <c r="X154" s="1852"/>
      <c r="Y154" s="1852"/>
      <c r="Z154" s="1852"/>
      <c r="AA154" s="2324"/>
      <c r="AB154" s="1258"/>
      <c r="AC154" s="1258"/>
      <c r="AD154" s="1258"/>
      <c r="AE154" s="1258"/>
      <c r="AF154" s="2333">
        <v>11</v>
      </c>
    </row>
    <row s="61193" customFormat="1" customHeight="1" ht="11.549999999999999">
      <c r="A155" s="1679"/>
      <c r="B155" s="2328"/>
      <c r="C155" s="2328"/>
      <c r="D155" s="1043"/>
      <c r="K155" s="1852"/>
      <c r="L155" s="2328"/>
      <c r="M155" s="2328"/>
      <c r="N155" s="1852"/>
      <c r="O155" s="1852"/>
      <c r="P155" s="1852"/>
      <c r="Q155" s="1852"/>
      <c r="R155" s="2328"/>
      <c r="S155" s="1852"/>
      <c r="T155" s="1852"/>
      <c r="U155" s="1236"/>
      <c r="V155" s="1852"/>
      <c r="W155" s="1852"/>
      <c r="X155" s="1852"/>
      <c r="Y155" s="1852"/>
      <c r="Z155" s="1852"/>
      <c r="AA155" s="2324"/>
      <c r="AB155" s="1258"/>
      <c r="AC155" s="1258"/>
      <c r="AD155" s="1258"/>
      <c r="AE155" s="1258"/>
      <c r="AF155" s="2333">
        <v>11</v>
      </c>
    </row>
    <row s="61193" customFormat="1" customHeight="1" ht="11.549999999999999">
      <c r="A156" s="1679"/>
      <c r="B156" s="2328"/>
      <c r="C156" s="2328"/>
      <c r="D156" s="1043"/>
      <c r="K156" s="1852"/>
      <c r="L156" s="2328"/>
      <c r="M156" s="2328"/>
      <c r="N156" s="1852"/>
      <c r="O156" s="1852"/>
      <c r="P156" s="1852"/>
      <c r="Q156" s="1852"/>
      <c r="R156" s="2328"/>
      <c r="S156" s="1852"/>
      <c r="T156" s="1852"/>
      <c r="U156" s="1236"/>
      <c r="V156" s="1852"/>
      <c r="W156" s="1852"/>
      <c r="X156" s="1852"/>
      <c r="Y156" s="1852"/>
      <c r="Z156" s="1852"/>
      <c r="AA156" s="2324"/>
      <c r="AB156" s="1258"/>
      <c r="AC156" s="1258"/>
      <c r="AD156" s="1258"/>
      <c r="AE156" s="1258"/>
      <c r="AF156" s="2333">
        <v>11</v>
      </c>
    </row>
    <row s="61193" customFormat="1" customHeight="1" ht="11.549999999999999">
      <c r="A157" s="1679"/>
      <c r="B157" s="2328"/>
      <c r="C157" s="2328"/>
      <c r="D157" s="1043"/>
      <c r="K157" s="1852"/>
      <c r="L157" s="2328"/>
      <c r="M157" s="2328"/>
      <c r="N157" s="1852"/>
      <c r="O157" s="1852"/>
      <c r="P157" s="1852"/>
      <c r="Q157" s="1852"/>
      <c r="R157" s="2328"/>
      <c r="S157" s="1852"/>
      <c r="T157" s="1852"/>
      <c r="U157" s="1236"/>
      <c r="V157" s="1852"/>
      <c r="W157" s="1852"/>
      <c r="X157" s="1852"/>
      <c r="Y157" s="1852"/>
      <c r="Z157" s="1852"/>
      <c r="AA157" s="2324"/>
      <c r="AB157" s="1258"/>
      <c r="AC157" s="1258"/>
      <c r="AD157" s="1258"/>
      <c r="AE157" s="1258"/>
      <c r="AF157" s="2333">
        <v>11</v>
      </c>
    </row>
    <row s="61193" customFormat="1" customHeight="1" ht="11.549999999999999">
      <c r="A158" s="1679"/>
      <c r="B158" s="2328"/>
      <c r="C158" s="2328"/>
      <c r="D158" s="1043"/>
      <c r="K158" s="1852"/>
      <c r="L158" s="2328"/>
      <c r="M158" s="2328"/>
      <c r="N158" s="1852"/>
      <c r="O158" s="1852"/>
      <c r="P158" s="1852"/>
      <c r="Q158" s="1852"/>
      <c r="R158" s="2328"/>
      <c r="S158" s="1852"/>
      <c r="T158" s="1852"/>
      <c r="U158" s="1236"/>
      <c r="V158" s="1852"/>
      <c r="W158" s="1852"/>
      <c r="X158" s="1852"/>
      <c r="Y158" s="1852"/>
      <c r="Z158" s="1852"/>
      <c r="AA158" s="2324"/>
      <c r="AB158" s="1258"/>
      <c r="AC158" s="1258"/>
      <c r="AD158" s="1258"/>
      <c r="AE158" s="1258"/>
      <c r="AF158" s="2333">
        <v>11</v>
      </c>
    </row>
    <row s="61193" customFormat="1" customHeight="1" ht="11.549999999999999">
      <c r="A159" s="1679"/>
      <c r="B159" s="2328"/>
      <c r="C159" s="2328"/>
      <c r="D159" s="1043"/>
      <c r="K159" s="1852"/>
      <c r="L159" s="2328"/>
      <c r="M159" s="2328"/>
      <c r="N159" s="1852"/>
      <c r="O159" s="1852"/>
      <c r="P159" s="1852"/>
      <c r="Q159" s="1852"/>
      <c r="R159" s="2328"/>
      <c r="S159" s="1852"/>
      <c r="T159" s="1852"/>
      <c r="U159" s="1236"/>
      <c r="V159" s="1852"/>
      <c r="W159" s="1852"/>
      <c r="X159" s="1852"/>
      <c r="Y159" s="1852"/>
      <c r="Z159" s="1852"/>
      <c r="AA159" s="2324"/>
      <c r="AB159" s="1258"/>
      <c r="AC159" s="1258"/>
      <c r="AD159" s="1258"/>
      <c r="AE159" s="1258"/>
      <c r="AF159" s="2333">
        <v>11</v>
      </c>
    </row>
    <row s="61193" customFormat="1" customHeight="1" ht="11.549999999999999">
      <c r="A160" s="1679"/>
      <c r="B160" s="2328"/>
      <c r="C160" s="2328"/>
      <c r="D160" s="1043"/>
      <c r="K160" s="1852"/>
      <c r="L160" s="2328"/>
      <c r="M160" s="2328"/>
      <c r="N160" s="1852"/>
      <c r="O160" s="1852"/>
      <c r="P160" s="1852"/>
      <c r="Q160" s="1852"/>
      <c r="R160" s="2328"/>
      <c r="S160" s="1852"/>
      <c r="T160" s="1852"/>
      <c r="U160" s="1236"/>
      <c r="V160" s="1852"/>
      <c r="W160" s="1852"/>
      <c r="X160" s="1852"/>
      <c r="Y160" s="1852"/>
      <c r="Z160" s="1852"/>
      <c r="AA160" s="2324"/>
      <c r="AB160" s="1258"/>
      <c r="AC160" s="1258"/>
      <c r="AD160" s="1258"/>
      <c r="AE160" s="1258"/>
      <c r="AF160" s="2333">
        <v>11</v>
      </c>
    </row>
    <row s="61193" customFormat="1" customHeight="1" ht="11.549999999999999">
      <c r="A161" s="1679"/>
      <c r="B161" s="2328"/>
      <c r="C161" s="2328"/>
      <c r="D161" s="1043"/>
      <c r="K161" s="1852"/>
      <c r="L161" s="2328"/>
      <c r="M161" s="2328"/>
      <c r="N161" s="1852"/>
      <c r="O161" s="1852"/>
      <c r="P161" s="1852"/>
      <c r="Q161" s="1852"/>
      <c r="R161" s="2328"/>
      <c r="S161" s="1852"/>
      <c r="T161" s="1852"/>
      <c r="U161" s="1236"/>
      <c r="V161" s="1852"/>
      <c r="W161" s="1852"/>
      <c r="X161" s="1852"/>
      <c r="Y161" s="1852"/>
      <c r="Z161" s="1852"/>
      <c r="AA161" s="2324"/>
      <c r="AB161" s="1258"/>
      <c r="AC161" s="1258"/>
      <c r="AD161" s="1258"/>
      <c r="AE161" s="1258"/>
      <c r="AF161" s="2333">
        <v>11</v>
      </c>
    </row>
    <row s="61193" customFormat="1" customHeight="1" ht="11.549999999999999">
      <c r="A162" s="1679"/>
      <c r="B162" s="2328"/>
      <c r="C162" s="2328"/>
      <c r="D162" s="1043"/>
      <c r="K162" s="1852"/>
      <c r="L162" s="2328"/>
      <c r="M162" s="2328"/>
      <c r="N162" s="1852"/>
      <c r="O162" s="1852"/>
      <c r="P162" s="1852"/>
      <c r="Q162" s="1852"/>
      <c r="R162" s="2328"/>
      <c r="S162" s="1852"/>
      <c r="T162" s="1852"/>
      <c r="U162" s="1236"/>
      <c r="V162" s="1852"/>
      <c r="W162" s="1852"/>
      <c r="X162" s="1852"/>
      <c r="Y162" s="1852"/>
      <c r="Z162" s="1852"/>
      <c r="AA162" s="2324"/>
      <c r="AB162" s="1258"/>
      <c r="AC162" s="1258"/>
      <c r="AD162" s="1258"/>
      <c r="AE162" s="1258"/>
      <c r="AF162" s="2333">
        <v>11</v>
      </c>
    </row>
    <row s="61193" customFormat="1" customHeight="1" ht="11.549999999999999">
      <c r="A163" s="1679"/>
      <c r="B163" s="2328"/>
      <c r="C163" s="2328"/>
      <c r="D163" s="1043"/>
      <c r="K163" s="1852"/>
      <c r="L163" s="2328"/>
      <c r="M163" s="2328"/>
      <c r="N163" s="1852"/>
      <c r="O163" s="1852"/>
      <c r="P163" s="1852"/>
      <c r="Q163" s="1852"/>
      <c r="R163" s="2328"/>
      <c r="S163" s="1852"/>
      <c r="T163" s="1852"/>
      <c r="U163" s="1236"/>
      <c r="V163" s="1852"/>
      <c r="W163" s="1852"/>
      <c r="X163" s="1852"/>
      <c r="Y163" s="1852"/>
      <c r="Z163" s="1852"/>
      <c r="AA163" s="2324"/>
      <c r="AB163" s="1258"/>
      <c r="AC163" s="1258"/>
      <c r="AD163" s="1258"/>
      <c r="AE163" s="1258"/>
      <c r="AF163" s="2333">
        <v>11</v>
      </c>
    </row>
    <row s="61193" customFormat="1" customHeight="1" ht="11.549999999999999">
      <c r="A164" s="1679"/>
      <c r="B164" s="2328"/>
      <c r="C164" s="2328"/>
      <c r="D164" s="1043"/>
      <c r="K164" s="1852"/>
      <c r="L164" s="2328"/>
      <c r="M164" s="2328"/>
      <c r="N164" s="1852"/>
      <c r="O164" s="1852"/>
      <c r="P164" s="1852"/>
      <c r="Q164" s="1852"/>
      <c r="R164" s="2328"/>
      <c r="S164" s="1852"/>
      <c r="T164" s="1852"/>
      <c r="U164" s="1236"/>
      <c r="V164" s="1852"/>
      <c r="W164" s="1852"/>
      <c r="X164" s="1852"/>
      <c r="Y164" s="1852"/>
      <c r="Z164" s="1852"/>
      <c r="AA164" s="2324"/>
      <c r="AB164" s="1258"/>
      <c r="AC164" s="1258"/>
      <c r="AD164" s="1258"/>
      <c r="AE164" s="1258"/>
      <c r="AF164" s="2333">
        <v>11</v>
      </c>
    </row>
    <row s="61193" customFormat="1" customHeight="1" ht="11.549999999999999">
      <c r="A165" s="1679"/>
      <c r="B165" s="2328"/>
      <c r="C165" s="2328"/>
      <c r="D165" s="1043"/>
      <c r="K165" s="1852"/>
      <c r="L165" s="2328"/>
      <c r="M165" s="2328"/>
      <c r="N165" s="1852"/>
      <c r="O165" s="1852"/>
      <c r="P165" s="1852"/>
      <c r="Q165" s="1852"/>
      <c r="R165" s="2328"/>
      <c r="S165" s="1852"/>
      <c r="T165" s="1852"/>
      <c r="U165" s="1236"/>
      <c r="V165" s="1852"/>
      <c r="W165" s="1852"/>
      <c r="X165" s="1852"/>
      <c r="Y165" s="1852"/>
      <c r="Z165" s="1852"/>
      <c r="AA165" s="2324"/>
      <c r="AB165" s="1258"/>
      <c r="AC165" s="1258"/>
      <c r="AD165" s="1258"/>
      <c r="AE165" s="1258"/>
      <c r="AF165" s="2333">
        <v>11</v>
      </c>
    </row>
    <row s="61193" customFormat="1" customHeight="1" ht="11.549999999999999">
      <c r="A166" s="1679"/>
      <c r="B166" s="2328"/>
      <c r="C166" s="2328"/>
      <c r="D166" s="1043"/>
      <c r="K166" s="1852"/>
      <c r="L166" s="2328"/>
      <c r="M166" s="2328"/>
      <c r="N166" s="1852"/>
      <c r="O166" s="1852"/>
      <c r="P166" s="1852"/>
      <c r="Q166" s="1852"/>
      <c r="R166" s="2328"/>
      <c r="S166" s="1852"/>
      <c r="T166" s="1852"/>
      <c r="U166" s="1236"/>
      <c r="V166" s="1852"/>
      <c r="W166" s="1852"/>
      <c r="X166" s="1852"/>
      <c r="Y166" s="1852"/>
      <c r="Z166" s="1852"/>
      <c r="AA166" s="2324"/>
      <c r="AB166" s="1258"/>
      <c r="AC166" s="1258"/>
      <c r="AD166" s="1258"/>
      <c r="AE166" s="1258"/>
      <c r="AF166" s="2333">
        <v>11</v>
      </c>
    </row>
    <row s="61193" customFormat="1" customHeight="1" ht="11.549999999999999">
      <c r="A167" s="1679"/>
      <c r="B167" s="2328"/>
      <c r="C167" s="2328"/>
      <c r="D167" s="1043"/>
      <c r="K167" s="1852"/>
      <c r="L167" s="2328"/>
      <c r="M167" s="2328"/>
      <c r="N167" s="1852"/>
      <c r="O167" s="1852"/>
      <c r="P167" s="1852"/>
      <c r="Q167" s="1852"/>
      <c r="R167" s="2328"/>
      <c r="S167" s="1852"/>
      <c r="T167" s="1852"/>
      <c r="U167" s="1236"/>
      <c r="V167" s="1852"/>
      <c r="W167" s="1852"/>
      <c r="X167" s="1852"/>
      <c r="Y167" s="1852"/>
      <c r="Z167" s="1852"/>
      <c r="AA167" s="2324"/>
      <c r="AB167" s="1258"/>
      <c r="AC167" s="1258"/>
      <c r="AD167" s="1258"/>
      <c r="AE167" s="1258"/>
      <c r="AF167" s="2333">
        <v>11</v>
      </c>
    </row>
    <row s="61193" customFormat="1" customHeight="1" ht="11.549999999999999">
      <c r="A168" s="1679"/>
      <c r="B168" s="2328"/>
      <c r="C168" s="2328"/>
      <c r="D168" s="1043"/>
      <c r="K168" s="1852"/>
      <c r="L168" s="2328"/>
      <c r="M168" s="2328"/>
      <c r="N168" s="1852"/>
      <c r="O168" s="1852"/>
      <c r="P168" s="1852"/>
      <c r="Q168" s="1852"/>
      <c r="R168" s="2328"/>
      <c r="S168" s="1852"/>
      <c r="T168" s="1852"/>
      <c r="U168" s="1236"/>
      <c r="V168" s="1852"/>
      <c r="W168" s="1852"/>
      <c r="X168" s="1852"/>
      <c r="Y168" s="1852"/>
      <c r="Z168" s="1852"/>
      <c r="AA168" s="2324"/>
      <c r="AB168" s="1258"/>
      <c r="AC168" s="1258"/>
      <c r="AD168" s="1258"/>
      <c r="AE168" s="1258"/>
      <c r="AF168" s="2333">
        <v>11</v>
      </c>
    </row>
    <row s="61193" customFormat="1" customHeight="1" ht="11.549999999999999">
      <c r="A169" s="1679"/>
      <c r="B169" s="2328"/>
      <c r="C169" s="2328"/>
      <c r="D169" s="1043"/>
      <c r="K169" s="1852"/>
      <c r="L169" s="2328"/>
      <c r="M169" s="2328"/>
      <c r="N169" s="1852"/>
      <c r="O169" s="1852"/>
      <c r="P169" s="1852"/>
      <c r="Q169" s="1852"/>
      <c r="R169" s="2328"/>
      <c r="S169" s="1852"/>
      <c r="T169" s="1852"/>
      <c r="U169" s="1236"/>
      <c r="V169" s="1852"/>
      <c r="W169" s="1852"/>
      <c r="X169" s="1852"/>
      <c r="Y169" s="1852"/>
      <c r="Z169" s="1852"/>
      <c r="AA169" s="2324"/>
      <c r="AB169" s="1258"/>
      <c r="AC169" s="1258"/>
      <c r="AD169" s="1258"/>
      <c r="AE169" s="1258"/>
      <c r="AF169" s="2333">
        <v>11</v>
      </c>
    </row>
    <row s="61193" customFormat="1" customHeight="1" ht="11.549999999999999">
      <c r="A170" s="1679"/>
      <c r="B170" s="2328"/>
      <c r="C170" s="2328"/>
      <c r="D170" s="1043"/>
      <c r="K170" s="1852"/>
      <c r="L170" s="2328"/>
      <c r="M170" s="2328"/>
      <c r="N170" s="1852"/>
      <c r="O170" s="1852"/>
      <c r="P170" s="1852"/>
      <c r="Q170" s="1852"/>
      <c r="R170" s="2328"/>
      <c r="S170" s="1852"/>
      <c r="T170" s="1852"/>
      <c r="U170" s="1236"/>
      <c r="V170" s="1852"/>
      <c r="W170" s="1852"/>
      <c r="X170" s="1852"/>
      <c r="Y170" s="1852"/>
      <c r="Z170" s="1852"/>
      <c r="AA170" s="2324"/>
      <c r="AB170" s="1258"/>
      <c r="AC170" s="1258"/>
      <c r="AD170" s="1258"/>
      <c r="AE170" s="1258"/>
      <c r="AF170" s="2333">
        <v>11</v>
      </c>
    </row>
    <row s="61193" customFormat="1" customHeight="1" ht="11.549999999999999">
      <c r="A171" s="1679"/>
      <c r="B171" s="2328"/>
      <c r="C171" s="2328"/>
      <c r="D171" s="1043"/>
      <c r="K171" s="1852"/>
      <c r="L171" s="2328"/>
      <c r="M171" s="2328"/>
      <c r="N171" s="1852"/>
      <c r="O171" s="1852"/>
      <c r="P171" s="1852"/>
      <c r="Q171" s="1852"/>
      <c r="R171" s="2328"/>
      <c r="S171" s="1852"/>
      <c r="T171" s="1852"/>
      <c r="U171" s="1236"/>
      <c r="V171" s="1852"/>
      <c r="W171" s="1852"/>
      <c r="X171" s="1852"/>
      <c r="Y171" s="1852"/>
      <c r="Z171" s="1852"/>
      <c r="AA171" s="2324"/>
      <c r="AB171" s="1258"/>
      <c r="AC171" s="1258"/>
      <c r="AD171" s="1258"/>
      <c r="AE171" s="1258"/>
      <c r="AF171" s="2333">
        <v>11</v>
      </c>
    </row>
    <row s="61193" customFormat="1" customHeight="1" ht="11.549999999999999">
      <c r="A172" s="1679"/>
      <c r="B172" s="2328"/>
      <c r="C172" s="2328"/>
      <c r="D172" s="1043"/>
      <c r="K172" s="1852"/>
      <c r="L172" s="2328"/>
      <c r="M172" s="2328"/>
      <c r="N172" s="1852"/>
      <c r="O172" s="1852"/>
      <c r="P172" s="1852"/>
      <c r="Q172" s="1852"/>
      <c r="R172" s="2328"/>
      <c r="S172" s="1852"/>
      <c r="T172" s="1852"/>
      <c r="U172" s="1236"/>
      <c r="V172" s="1852"/>
      <c r="W172" s="1852"/>
      <c r="X172" s="1852"/>
      <c r="Y172" s="1852"/>
      <c r="Z172" s="1852"/>
      <c r="AA172" s="2324"/>
      <c r="AB172" s="1258"/>
      <c r="AC172" s="1258"/>
      <c r="AD172" s="1258"/>
      <c r="AE172" s="1258"/>
      <c r="AF172" s="2333">
        <v>11</v>
      </c>
    </row>
    <row s="61193" customFormat="1" customHeight="1" ht="11.549999999999999">
      <c r="A173" s="1679"/>
      <c r="B173" s="2328"/>
      <c r="C173" s="2328"/>
      <c r="D173" s="1043"/>
      <c r="K173" s="1852"/>
      <c r="L173" s="2328"/>
      <c r="M173" s="2328"/>
      <c r="N173" s="1852"/>
      <c r="O173" s="1852"/>
      <c r="P173" s="1852"/>
      <c r="Q173" s="1852"/>
      <c r="R173" s="2328"/>
      <c r="S173" s="1852"/>
      <c r="T173" s="1852"/>
      <c r="U173" s="1236"/>
      <c r="V173" s="1852"/>
      <c r="W173" s="1852"/>
      <c r="X173" s="1852"/>
      <c r="Y173" s="1852"/>
      <c r="Z173" s="1852"/>
      <c r="AA173" s="2324"/>
      <c r="AB173" s="1258"/>
      <c r="AC173" s="1258"/>
      <c r="AD173" s="1258"/>
      <c r="AE173" s="1258"/>
      <c r="AF173" s="2333">
        <v>11</v>
      </c>
    </row>
    <row s="61193" customFormat="1" customHeight="1" ht="11.549999999999999">
      <c r="A174" s="1679"/>
      <c r="B174" s="2328"/>
      <c r="C174" s="2328"/>
      <c r="D174" s="1043"/>
      <c r="K174" s="1852"/>
      <c r="L174" s="2328"/>
      <c r="M174" s="2328"/>
      <c r="N174" s="1852"/>
      <c r="O174" s="1852"/>
      <c r="P174" s="1852"/>
      <c r="Q174" s="1852"/>
      <c r="R174" s="2328"/>
      <c r="S174" s="1852"/>
      <c r="T174" s="1852"/>
      <c r="U174" s="1236"/>
      <c r="V174" s="1852"/>
      <c r="W174" s="1852"/>
      <c r="X174" s="1852"/>
      <c r="Y174" s="1852"/>
      <c r="Z174" s="1852"/>
      <c r="AA174" s="2324"/>
      <c r="AB174" s="1258"/>
      <c r="AC174" s="1258"/>
      <c r="AD174" s="1258"/>
      <c r="AE174" s="1258"/>
      <c r="AF174" s="2333">
        <v>11</v>
      </c>
    </row>
    <row s="61193" customFormat="1" customHeight="1" ht="11.549999999999999">
      <c r="A175" s="1679"/>
      <c r="B175" s="2328"/>
      <c r="C175" s="2328"/>
      <c r="D175" s="1043"/>
      <c r="K175" s="1852"/>
      <c r="L175" s="2328"/>
      <c r="M175" s="2328"/>
      <c r="N175" s="1852"/>
      <c r="O175" s="1852"/>
      <c r="P175" s="1852"/>
      <c r="Q175" s="1852"/>
      <c r="R175" s="2328"/>
      <c r="S175" s="1852"/>
      <c r="T175" s="1852"/>
      <c r="U175" s="1236"/>
      <c r="V175" s="1852"/>
      <c r="W175" s="1852"/>
      <c r="X175" s="1852"/>
      <c r="Y175" s="1852"/>
      <c r="Z175" s="1852"/>
      <c r="AA175" s="2324"/>
      <c r="AB175" s="1258"/>
      <c r="AC175" s="1258"/>
      <c r="AD175" s="1258"/>
      <c r="AE175" s="1258"/>
      <c r="AF175" s="2333">
        <v>11</v>
      </c>
    </row>
    <row s="61193" customFormat="1" customHeight="1" ht="11.549999999999999">
      <c r="A176" s="1679"/>
      <c r="B176" s="2328"/>
      <c r="C176" s="2328"/>
      <c r="D176" s="1043"/>
      <c r="K176" s="1852"/>
      <c r="L176" s="2328"/>
      <c r="M176" s="2328"/>
      <c r="N176" s="1852"/>
      <c r="O176" s="1852"/>
      <c r="P176" s="1852"/>
      <c r="Q176" s="1852"/>
      <c r="R176" s="2328"/>
      <c r="S176" s="1852"/>
      <c r="T176" s="1852"/>
      <c r="U176" s="1236"/>
      <c r="V176" s="1852"/>
      <c r="W176" s="1852"/>
      <c r="X176" s="1852"/>
      <c r="Y176" s="1852"/>
      <c r="Z176" s="1852"/>
      <c r="AA176" s="2324"/>
      <c r="AB176" s="1258"/>
      <c r="AC176" s="1258"/>
      <c r="AD176" s="1258"/>
      <c r="AE176" s="1258"/>
      <c r="AF176" s="2333">
        <v>11</v>
      </c>
    </row>
    <row s="61193" customFormat="1" customHeight="1" ht="11.549999999999999">
      <c r="A177" s="1679"/>
      <c r="B177" s="2328"/>
      <c r="C177" s="2328"/>
      <c r="D177" s="1043"/>
      <c r="K177" s="1852"/>
      <c r="L177" s="2328"/>
      <c r="M177" s="2328"/>
      <c r="N177" s="1852"/>
      <c r="O177" s="1852"/>
      <c r="P177" s="1852"/>
      <c r="Q177" s="1852"/>
      <c r="R177" s="2328"/>
      <c r="S177" s="1852"/>
      <c r="T177" s="1852"/>
      <c r="U177" s="1236"/>
      <c r="V177" s="1852"/>
      <c r="W177" s="1852"/>
      <c r="X177" s="1852"/>
      <c r="Y177" s="1852"/>
      <c r="Z177" s="1852"/>
      <c r="AA177" s="2324"/>
      <c r="AB177" s="1258"/>
      <c r="AC177" s="1258"/>
      <c r="AD177" s="1258"/>
      <c r="AE177" s="1258"/>
      <c r="AF177" s="2333">
        <v>11</v>
      </c>
    </row>
    <row s="61193" customFormat="1" customHeight="1" ht="11.549999999999999">
      <c r="A178" s="1679"/>
      <c r="B178" s="2328"/>
      <c r="C178" s="2328"/>
      <c r="D178" s="1043"/>
      <c r="K178" s="1852"/>
      <c r="L178" s="2328"/>
      <c r="M178" s="2328"/>
      <c r="N178" s="1852"/>
      <c r="O178" s="1852"/>
      <c r="P178" s="1852"/>
      <c r="Q178" s="1852"/>
      <c r="R178" s="2328"/>
      <c r="S178" s="1852"/>
      <c r="T178" s="1852"/>
      <c r="U178" s="1236"/>
      <c r="V178" s="1852"/>
      <c r="W178" s="1852"/>
      <c r="X178" s="1852"/>
      <c r="Y178" s="1852"/>
      <c r="Z178" s="1852"/>
      <c r="AA178" s="2324"/>
      <c r="AB178" s="1258"/>
      <c r="AC178" s="1258"/>
      <c r="AD178" s="1258"/>
      <c r="AE178" s="1258"/>
      <c r="AF178" s="2333">
        <v>11</v>
      </c>
    </row>
    <row s="61193" customFormat="1" customHeight="1" ht="11.549999999999999">
      <c r="A179" s="1679"/>
      <c r="B179" s="2328"/>
      <c r="C179" s="2328"/>
      <c r="D179" s="1043"/>
      <c r="K179" s="1852"/>
      <c r="L179" s="2328"/>
      <c r="M179" s="2328"/>
      <c r="N179" s="1852"/>
      <c r="O179" s="1852"/>
      <c r="P179" s="1852"/>
      <c r="Q179" s="1852"/>
      <c r="R179" s="2328"/>
      <c r="S179" s="1852"/>
      <c r="T179" s="1852"/>
      <c r="U179" s="1236"/>
      <c r="V179" s="1852"/>
      <c r="W179" s="1852"/>
      <c r="X179" s="1852"/>
      <c r="Y179" s="1852"/>
      <c r="Z179" s="1852"/>
      <c r="AA179" s="2324"/>
      <c r="AB179" s="1258"/>
      <c r="AC179" s="1258"/>
      <c r="AD179" s="1258"/>
      <c r="AE179" s="1258"/>
      <c r="AF179" s="2333">
        <v>11</v>
      </c>
    </row>
    <row s="61193" customFormat="1" customHeight="1" ht="11.549999999999999">
      <c r="A180" s="1679"/>
      <c r="B180" s="2328"/>
      <c r="C180" s="2328"/>
      <c r="D180" s="1043"/>
      <c r="K180" s="1852"/>
      <c r="L180" s="2328"/>
      <c r="M180" s="2328"/>
      <c r="N180" s="1852"/>
      <c r="O180" s="1852"/>
      <c r="P180" s="1852"/>
      <c r="Q180" s="1852"/>
      <c r="R180" s="2328"/>
      <c r="S180" s="1852"/>
      <c r="T180" s="1852"/>
      <c r="U180" s="1236"/>
      <c r="V180" s="1852"/>
      <c r="W180" s="1852"/>
      <c r="X180" s="1852"/>
      <c r="Y180" s="1852"/>
      <c r="Z180" s="1852"/>
      <c r="AA180" s="2324"/>
      <c r="AB180" s="1258"/>
      <c r="AC180" s="1258"/>
      <c r="AD180" s="1258"/>
      <c r="AE180" s="1258"/>
      <c r="AF180" s="2333">
        <v>11</v>
      </c>
    </row>
    <row s="61193" customFormat="1" customHeight="1" ht="11.549999999999999">
      <c r="A181" s="1679"/>
      <c r="B181" s="2328"/>
      <c r="C181" s="2328"/>
      <c r="D181" s="1043"/>
      <c r="K181" s="1852"/>
      <c r="L181" s="2328"/>
      <c r="M181" s="2328"/>
      <c r="N181" s="1852"/>
      <c r="O181" s="1852"/>
      <c r="P181" s="1852"/>
      <c r="Q181" s="1852"/>
      <c r="R181" s="2328"/>
      <c r="S181" s="1852"/>
      <c r="T181" s="1852"/>
      <c r="U181" s="1236"/>
      <c r="V181" s="1852"/>
      <c r="W181" s="1852"/>
      <c r="X181" s="1852"/>
      <c r="Y181" s="1852"/>
      <c r="Z181" s="1852"/>
      <c r="AA181" s="2324"/>
      <c r="AB181" s="1258"/>
      <c r="AC181" s="1258"/>
      <c r="AD181" s="1258"/>
      <c r="AE181" s="1258"/>
      <c r="AF181" s="2333">
        <v>11</v>
      </c>
    </row>
    <row s="61193" customFormat="1" customHeight="1" ht="11.549999999999999">
      <c r="A182" s="1679"/>
      <c r="B182" s="2328"/>
      <c r="C182" s="2328"/>
      <c r="D182" s="1043"/>
      <c r="K182" s="1852"/>
      <c r="L182" s="2328"/>
      <c r="M182" s="2328"/>
      <c r="N182" s="1852"/>
      <c r="O182" s="1852"/>
      <c r="P182" s="1852"/>
      <c r="Q182" s="1852"/>
      <c r="R182" s="2328"/>
      <c r="S182" s="1852"/>
      <c r="T182" s="1852"/>
      <c r="U182" s="1236"/>
      <c r="V182" s="1852"/>
      <c r="W182" s="1852"/>
      <c r="X182" s="1852"/>
      <c r="Y182" s="1852"/>
      <c r="Z182" s="1852"/>
      <c r="AA182" s="2324"/>
      <c r="AB182" s="1258"/>
      <c r="AC182" s="1258"/>
      <c r="AD182" s="1258"/>
      <c r="AE182" s="1258"/>
      <c r="AF182" s="2333">
        <v>11</v>
      </c>
    </row>
    <row s="61193" customFormat="1" customHeight="1" ht="11.549999999999999">
      <c r="A183" s="1679"/>
      <c r="B183" s="2328"/>
      <c r="C183" s="2328"/>
      <c r="D183" s="1043"/>
      <c r="K183" s="1852"/>
      <c r="L183" s="2328"/>
      <c r="M183" s="2328"/>
      <c r="N183" s="1852"/>
      <c r="O183" s="1852"/>
      <c r="P183" s="1852"/>
      <c r="Q183" s="1852"/>
      <c r="R183" s="2328"/>
      <c r="S183" s="1852"/>
      <c r="T183" s="1852"/>
      <c r="U183" s="1236"/>
      <c r="V183" s="1852"/>
      <c r="W183" s="1852"/>
      <c r="X183" s="1852"/>
      <c r="Y183" s="1852"/>
      <c r="Z183" s="1852"/>
      <c r="AA183" s="2324"/>
      <c r="AB183" s="1258"/>
      <c r="AC183" s="1258"/>
      <c r="AD183" s="1258"/>
      <c r="AE183" s="1258"/>
      <c r="AF183" s="2333">
        <v>11</v>
      </c>
    </row>
    <row s="61193" customFormat="1" customHeight="1" ht="11.549999999999999">
      <c r="A184" s="1679"/>
      <c r="B184" s="2328"/>
      <c r="C184" s="2328"/>
      <c r="D184" s="1043"/>
      <c r="K184" s="1852"/>
      <c r="L184" s="2328"/>
      <c r="M184" s="2328"/>
      <c r="N184" s="1852"/>
      <c r="O184" s="1852"/>
      <c r="P184" s="1852"/>
      <c r="Q184" s="1852"/>
      <c r="R184" s="2328"/>
      <c r="S184" s="1852"/>
      <c r="T184" s="1852"/>
      <c r="U184" s="1236"/>
      <c r="V184" s="1852"/>
      <c r="W184" s="1852"/>
      <c r="X184" s="1852"/>
      <c r="Y184" s="1852"/>
      <c r="Z184" s="1852"/>
      <c r="AA184" s="2324"/>
      <c r="AB184" s="1258"/>
      <c r="AC184" s="1258"/>
      <c r="AD184" s="1258"/>
      <c r="AE184" s="1258"/>
      <c r="AF184" s="2333">
        <v>11</v>
      </c>
    </row>
    <row s="61193" customFormat="1" customHeight="1" ht="11.549999999999999">
      <c r="A185" s="1679"/>
      <c r="B185" s="2328"/>
      <c r="C185" s="2328"/>
      <c r="D185" s="1043"/>
      <c r="K185" s="1852"/>
      <c r="L185" s="2328"/>
      <c r="M185" s="2328"/>
      <c r="N185" s="1852"/>
      <c r="O185" s="1852"/>
      <c r="P185" s="1852"/>
      <c r="Q185" s="1852"/>
      <c r="R185" s="2328"/>
      <c r="S185" s="1852"/>
      <c r="T185" s="1852"/>
      <c r="U185" s="1236"/>
      <c r="V185" s="1852"/>
      <c r="W185" s="1852"/>
      <c r="X185" s="1852"/>
      <c r="Y185" s="1852"/>
      <c r="Z185" s="1852"/>
      <c r="AA185" s="2324"/>
      <c r="AB185" s="1258"/>
      <c r="AC185" s="1258"/>
      <c r="AD185" s="1258"/>
      <c r="AE185" s="1258"/>
      <c r="AF185" s="2333">
        <v>11</v>
      </c>
    </row>
    <row s="61193" customFormat="1" customHeight="1" ht="11.549999999999999">
      <c r="A186" s="1679"/>
      <c r="B186" s="2328"/>
      <c r="C186" s="2328"/>
      <c r="D186" s="1043"/>
      <c r="K186" s="1852"/>
      <c r="L186" s="2328"/>
      <c r="M186" s="2328"/>
      <c r="N186" s="1852"/>
      <c r="O186" s="1852"/>
      <c r="P186" s="1852"/>
      <c r="Q186" s="1852"/>
      <c r="R186" s="2328"/>
      <c r="S186" s="1852"/>
      <c r="T186" s="1852"/>
      <c r="U186" s="1236"/>
      <c r="V186" s="1852"/>
      <c r="W186" s="1852"/>
      <c r="X186" s="1852"/>
      <c r="Y186" s="1852"/>
      <c r="Z186" s="1852"/>
      <c r="AA186" s="2324"/>
      <c r="AB186" s="1258"/>
      <c r="AC186" s="1258"/>
      <c r="AD186" s="1258"/>
      <c r="AE186" s="1258"/>
      <c r="AF186" s="2333">
        <v>11</v>
      </c>
    </row>
    <row s="61193" customFormat="1" customHeight="1" ht="11.549999999999999">
      <c r="A187" s="1679"/>
      <c r="B187" s="2328"/>
      <c r="C187" s="2328"/>
      <c r="D187" s="1043"/>
      <c r="K187" s="1852"/>
      <c r="L187" s="2328"/>
      <c r="M187" s="2328"/>
      <c r="N187" s="1852"/>
      <c r="O187" s="1852"/>
      <c r="P187" s="1852"/>
      <c r="Q187" s="1852"/>
      <c r="R187" s="2328"/>
      <c r="S187" s="1852"/>
      <c r="T187" s="1852"/>
      <c r="U187" s="1236"/>
      <c r="V187" s="1852"/>
      <c r="W187" s="1852"/>
      <c r="X187" s="1852"/>
      <c r="Y187" s="1852"/>
      <c r="Z187" s="1852"/>
      <c r="AA187" s="2324"/>
      <c r="AB187" s="1258"/>
      <c r="AC187" s="1258"/>
      <c r="AD187" s="1258"/>
      <c r="AE187" s="1258"/>
      <c r="AF187" s="2333">
        <v>11</v>
      </c>
    </row>
    <row s="61193" customFormat="1" customHeight="1" ht="11.549999999999999">
      <c r="A188" s="1679"/>
      <c r="B188" s="2328"/>
      <c r="C188" s="2328"/>
      <c r="D188" s="1043"/>
      <c r="K188" s="1852"/>
      <c r="L188" s="2328"/>
      <c r="M188" s="2328"/>
      <c r="N188" s="1852"/>
      <c r="O188" s="1852"/>
      <c r="P188" s="1852"/>
      <c r="Q188" s="1852"/>
      <c r="R188" s="2328"/>
      <c r="S188" s="1852"/>
      <c r="T188" s="1852"/>
      <c r="U188" s="1236"/>
      <c r="V188" s="1852"/>
      <c r="W188" s="1852"/>
      <c r="X188" s="1852"/>
      <c r="Y188" s="1852"/>
      <c r="Z188" s="1852"/>
      <c r="AA188" s="2324"/>
      <c r="AB188" s="1258"/>
      <c r="AC188" s="1258"/>
      <c r="AD188" s="1258"/>
      <c r="AE188" s="1258"/>
      <c r="AF188" s="2333">
        <v>11</v>
      </c>
    </row>
    <row s="61193" customFormat="1" customHeight="1" ht="11.549999999999999">
      <c r="A189" s="1679"/>
      <c r="B189" s="2328"/>
      <c r="C189" s="2328"/>
      <c r="D189" s="1043"/>
      <c r="K189" s="1852"/>
      <c r="L189" s="2328"/>
      <c r="M189" s="2328"/>
      <c r="N189" s="1852"/>
      <c r="O189" s="1852"/>
      <c r="P189" s="1852"/>
      <c r="Q189" s="1852"/>
      <c r="R189" s="2328"/>
      <c r="S189" s="1852"/>
      <c r="T189" s="1852"/>
      <c r="U189" s="1236"/>
      <c r="V189" s="1852"/>
      <c r="W189" s="1852"/>
      <c r="X189" s="1852"/>
      <c r="Y189" s="1852"/>
      <c r="Z189" s="1852"/>
      <c r="AA189" s="2324"/>
      <c r="AB189" s="1258"/>
      <c r="AC189" s="1258"/>
      <c r="AD189" s="1258"/>
      <c r="AE189" s="1258"/>
      <c r="AF189" s="2333">
        <v>11</v>
      </c>
    </row>
    <row s="61193" customFormat="1" customHeight="1" ht="11.549999999999999">
      <c r="A190" s="1679"/>
      <c r="B190" s="2328"/>
      <c r="C190" s="2328"/>
      <c r="D190" s="1043"/>
      <c r="K190" s="1852"/>
      <c r="L190" s="2328"/>
      <c r="M190" s="2328"/>
      <c r="N190" s="1852"/>
      <c r="O190" s="1852"/>
      <c r="P190" s="1852"/>
      <c r="Q190" s="1852"/>
      <c r="R190" s="2328"/>
      <c r="S190" s="1852"/>
      <c r="T190" s="1852"/>
      <c r="U190" s="1236"/>
      <c r="V190" s="1852"/>
      <c r="W190" s="1852"/>
      <c r="X190" s="1852"/>
      <c r="Y190" s="1852"/>
      <c r="Z190" s="1852"/>
      <c r="AA190" s="2324"/>
      <c r="AB190" s="1258"/>
      <c r="AC190" s="1258"/>
      <c r="AD190" s="1258"/>
      <c r="AE190" s="1258"/>
      <c r="AF190" s="2333">
        <v>11</v>
      </c>
    </row>
    <row s="61193" customFormat="1" customHeight="1" ht="11.549999999999999">
      <c r="A191" s="1679"/>
      <c r="B191" s="2328"/>
      <c r="C191" s="2328"/>
      <c r="D191" s="1043"/>
      <c r="K191" s="1852"/>
      <c r="L191" s="2328"/>
      <c r="M191" s="2328"/>
      <c r="N191" s="1852"/>
      <c r="O191" s="1852"/>
      <c r="P191" s="1852"/>
      <c r="Q191" s="1852"/>
      <c r="R191" s="2328"/>
      <c r="S191" s="1852"/>
      <c r="T191" s="1852"/>
      <c r="U191" s="1236"/>
      <c r="V191" s="1852"/>
      <c r="W191" s="1852"/>
      <c r="X191" s="1852"/>
      <c r="Y191" s="1852"/>
      <c r="Z191" s="1852"/>
      <c r="AA191" s="2324"/>
      <c r="AB191" s="1258"/>
      <c r="AC191" s="1258"/>
      <c r="AD191" s="1258"/>
      <c r="AE191" s="1258"/>
      <c r="AF191" s="2333">
        <v>11</v>
      </c>
    </row>
    <row s="61193" customFormat="1" customHeight="1" ht="11.549999999999999">
      <c r="A192" s="1679"/>
      <c r="B192" s="2328"/>
      <c r="C192" s="2328"/>
      <c r="D192" s="1043"/>
      <c r="K192" s="1852"/>
      <c r="L192" s="2328"/>
      <c r="M192" s="2328"/>
      <c r="N192" s="1852"/>
      <c r="O192" s="1852"/>
      <c r="P192" s="1852"/>
      <c r="Q192" s="1852"/>
      <c r="R192" s="2328"/>
      <c r="S192" s="1852"/>
      <c r="T192" s="1852"/>
      <c r="U192" s="1236"/>
      <c r="V192" s="1852"/>
      <c r="W192" s="1852"/>
      <c r="X192" s="1852"/>
      <c r="Y192" s="1852"/>
      <c r="Z192" s="1852"/>
      <c r="AA192" s="2324"/>
      <c r="AB192" s="1258"/>
      <c r="AC192" s="1258"/>
      <c r="AD192" s="1258"/>
      <c r="AE192" s="1258"/>
      <c r="AF192" s="2333">
        <v>11</v>
      </c>
    </row>
    <row s="61193" customFormat="1" customHeight="1" ht="11.549999999999999">
      <c r="A193" s="1679"/>
      <c r="B193" s="2328"/>
      <c r="C193" s="2328"/>
      <c r="D193" s="1043"/>
      <c r="K193" s="1852"/>
      <c r="L193" s="2328"/>
      <c r="M193" s="2328"/>
      <c r="N193" s="1852"/>
      <c r="O193" s="1852"/>
      <c r="P193" s="1852"/>
      <c r="Q193" s="1852"/>
      <c r="R193" s="2328"/>
      <c r="S193" s="1852"/>
      <c r="T193" s="1852"/>
      <c r="U193" s="1236"/>
      <c r="V193" s="1852"/>
      <c r="W193" s="1852"/>
      <c r="X193" s="1852"/>
      <c r="Y193" s="1852"/>
      <c r="Z193" s="1852"/>
      <c r="AA193" s="2324"/>
      <c r="AB193" s="1258"/>
      <c r="AC193" s="1258"/>
      <c r="AD193" s="1258"/>
      <c r="AE193" s="1258"/>
      <c r="AF193" s="2333">
        <v>11</v>
      </c>
    </row>
    <row s="61193" customFormat="1" customHeight="1" ht="11.549999999999999">
      <c r="A194" s="1679"/>
      <c r="B194" s="2328"/>
      <c r="C194" s="2328"/>
      <c r="D194" s="1043"/>
      <c r="K194" s="1852"/>
      <c r="L194" s="2328"/>
      <c r="M194" s="2328"/>
      <c r="N194" s="1852"/>
      <c r="O194" s="1852"/>
      <c r="P194" s="1852"/>
      <c r="Q194" s="1852"/>
      <c r="R194" s="2328"/>
      <c r="S194" s="1852"/>
      <c r="T194" s="1852"/>
      <c r="U194" s="1236"/>
      <c r="V194" s="1852"/>
      <c r="W194" s="1852"/>
      <c r="X194" s="1852"/>
      <c r="Y194" s="1852"/>
      <c r="Z194" s="1852"/>
      <c r="AA194" s="2324"/>
      <c r="AB194" s="1258"/>
      <c r="AC194" s="1258"/>
      <c r="AD194" s="1258"/>
      <c r="AE194" s="1258"/>
      <c r="AF194" s="2333">
        <v>11</v>
      </c>
    </row>
    <row s="61193" customFormat="1" customHeight="1" ht="11.549999999999999">
      <c r="A195" s="1679"/>
      <c r="B195" s="2328"/>
      <c r="C195" s="2328"/>
      <c r="D195" s="1043"/>
      <c r="K195" s="1852"/>
      <c r="L195" s="2328"/>
      <c r="M195" s="2328"/>
      <c r="N195" s="1852"/>
      <c r="O195" s="1852"/>
      <c r="P195" s="1852"/>
      <c r="Q195" s="1852"/>
      <c r="R195" s="2328"/>
      <c r="S195" s="1852"/>
      <c r="T195" s="1852"/>
      <c r="U195" s="1236"/>
      <c r="V195" s="1852"/>
      <c r="W195" s="1852"/>
      <c r="X195" s="1852"/>
      <c r="Y195" s="1852"/>
      <c r="Z195" s="1852"/>
      <c r="AA195" s="2324"/>
      <c r="AB195" s="1258"/>
      <c r="AC195" s="1258"/>
      <c r="AD195" s="1258"/>
      <c r="AE195" s="1258"/>
      <c r="AF195" s="2333">
        <v>11</v>
      </c>
    </row>
    <row s="61193" customFormat="1" customHeight="1" ht="11.549999999999999">
      <c r="A196" s="1679"/>
      <c r="B196" s="2328"/>
      <c r="C196" s="2328"/>
      <c r="D196" s="1043"/>
      <c r="K196" s="1852"/>
      <c r="L196" s="2328"/>
      <c r="M196" s="2328"/>
      <c r="N196" s="1852"/>
      <c r="O196" s="1852"/>
      <c r="P196" s="1852"/>
      <c r="Q196" s="1852"/>
      <c r="R196" s="2328"/>
      <c r="S196" s="1852"/>
      <c r="T196" s="1852"/>
      <c r="U196" s="1236"/>
      <c r="V196" s="1852"/>
      <c r="W196" s="1852"/>
      <c r="X196" s="1852"/>
      <c r="Y196" s="1852"/>
      <c r="Z196" s="1852"/>
      <c r="AA196" s="2324"/>
      <c r="AB196" s="1258"/>
      <c r="AC196" s="1258"/>
      <c r="AD196" s="1258"/>
      <c r="AE196" s="1258"/>
      <c r="AF196" s="2333">
        <v>11</v>
      </c>
    </row>
    <row s="61193" customFormat="1" customHeight="1" ht="11.549999999999999">
      <c r="A197" s="1679"/>
      <c r="B197" s="2328"/>
      <c r="C197" s="2328"/>
      <c r="D197" s="1043"/>
      <c r="K197" s="1852"/>
      <c r="L197" s="2328"/>
      <c r="M197" s="2328"/>
      <c r="N197" s="1852"/>
      <c r="O197" s="1852"/>
      <c r="P197" s="1852"/>
      <c r="Q197" s="1852"/>
      <c r="R197" s="2328"/>
      <c r="S197" s="1852"/>
      <c r="T197" s="1852"/>
      <c r="U197" s="1236"/>
      <c r="V197" s="1852"/>
      <c r="W197" s="1852"/>
      <c r="X197" s="1852"/>
      <c r="Y197" s="1852"/>
      <c r="Z197" s="1852"/>
      <c r="AA197" s="2324"/>
      <c r="AB197" s="1258"/>
      <c r="AC197" s="1258"/>
      <c r="AD197" s="1258"/>
      <c r="AE197" s="1258"/>
      <c r="AF197" s="2333">
        <v>11</v>
      </c>
    </row>
    <row s="61193" customFormat="1" customHeight="1" ht="11.549999999999999">
      <c r="A198" s="1679"/>
      <c r="B198" s="2328"/>
      <c r="C198" s="2328"/>
      <c r="D198" s="1043"/>
      <c r="K198" s="1852"/>
      <c r="L198" s="2328"/>
      <c r="M198" s="2328"/>
      <c r="N198" s="1852"/>
      <c r="O198" s="1852"/>
      <c r="P198" s="1852"/>
      <c r="Q198" s="1852"/>
      <c r="R198" s="2328"/>
      <c r="S198" s="1852"/>
      <c r="T198" s="1852"/>
      <c r="U198" s="1236"/>
      <c r="V198" s="1852"/>
      <c r="W198" s="1852"/>
      <c r="X198" s="1852"/>
      <c r="Y198" s="1852"/>
      <c r="Z198" s="1852"/>
      <c r="AA198" s="2324"/>
      <c r="AB198" s="1258"/>
      <c r="AC198" s="1258"/>
      <c r="AD198" s="1258"/>
      <c r="AE198" s="1258"/>
      <c r="AF198" s="2333">
        <v>11</v>
      </c>
    </row>
    <row s="61193" customFormat="1" customHeight="1" ht="11.549999999999999">
      <c r="A199" s="1679"/>
      <c r="B199" s="2328"/>
      <c r="C199" s="2328"/>
      <c r="D199" s="1043"/>
      <c r="K199" s="1852"/>
      <c r="L199" s="2328"/>
      <c r="M199" s="2328"/>
      <c r="N199" s="1852"/>
      <c r="O199" s="1852"/>
      <c r="P199" s="1852"/>
      <c r="Q199" s="1852"/>
      <c r="R199" s="2328"/>
      <c r="S199" s="1852"/>
      <c r="T199" s="1852"/>
      <c r="U199" s="1236"/>
      <c r="V199" s="1852"/>
      <c r="W199" s="1852"/>
      <c r="X199" s="1852"/>
      <c r="Y199" s="1852"/>
      <c r="Z199" s="1852"/>
      <c r="AA199" s="2324"/>
      <c r="AB199" s="1258"/>
      <c r="AC199" s="1258"/>
      <c r="AD199" s="1258"/>
      <c r="AE199" s="1258"/>
      <c r="AF199" s="2333">
        <v>11</v>
      </c>
    </row>
    <row s="61193" customFormat="1" customHeight="1" ht="11.549999999999999">
      <c r="A200" s="1679"/>
      <c r="B200" s="2328"/>
      <c r="C200" s="2328"/>
      <c r="D200" s="1043"/>
      <c r="K200" s="1852"/>
      <c r="L200" s="2328"/>
      <c r="M200" s="2328"/>
      <c r="N200" s="1852"/>
      <c r="O200" s="1852"/>
      <c r="P200" s="1852"/>
      <c r="Q200" s="1852"/>
      <c r="R200" s="2328"/>
      <c r="S200" s="1852"/>
      <c r="T200" s="1852"/>
      <c r="U200" s="1236"/>
      <c r="V200" s="1852"/>
      <c r="W200" s="1852"/>
      <c r="X200" s="1852"/>
      <c r="Y200" s="1852"/>
      <c r="Z200" s="1852"/>
      <c r="AA200" s="2324"/>
      <c r="AB200" s="1258"/>
      <c r="AC200" s="1258"/>
      <c r="AD200" s="1258"/>
      <c r="AE200" s="1258"/>
      <c r="AF200" s="2333">
        <v>11</v>
      </c>
    </row>
    <row s="61193" customFormat="1" customHeight="1" ht="11.549999999999999">
      <c r="A201" s="1679"/>
      <c r="B201" s="2328"/>
      <c r="C201" s="2328"/>
      <c r="D201" s="1043"/>
      <c r="K201" s="1852"/>
      <c r="L201" s="2328"/>
      <c r="M201" s="2328"/>
      <c r="N201" s="1852"/>
      <c r="O201" s="1852"/>
      <c r="P201" s="1852"/>
      <c r="Q201" s="1852"/>
      <c r="R201" s="2328"/>
      <c r="S201" s="1852"/>
      <c r="T201" s="1852"/>
      <c r="U201" s="1236"/>
      <c r="V201" s="1852"/>
      <c r="W201" s="1852"/>
      <c r="X201" s="1852"/>
      <c r="Y201" s="1852"/>
      <c r="Z201" s="1852"/>
      <c r="AA201" s="2324"/>
      <c r="AB201" s="1258"/>
      <c r="AC201" s="1258"/>
      <c r="AD201" s="1258"/>
      <c r="AE201" s="1258"/>
      <c r="AF201" s="2333">
        <v>11</v>
      </c>
    </row>
    <row s="61193" customFormat="1" customHeight="1" ht="11.549999999999999">
      <c r="A202" s="1679"/>
      <c r="B202" s="2328"/>
      <c r="C202" s="2328"/>
      <c r="D202" s="1043"/>
      <c r="K202" s="1852"/>
      <c r="L202" s="2328"/>
      <c r="M202" s="2328"/>
      <c r="N202" s="1852"/>
      <c r="O202" s="1852"/>
      <c r="P202" s="1852"/>
      <c r="Q202" s="1852"/>
      <c r="R202" s="2328"/>
      <c r="S202" s="1852"/>
      <c r="T202" s="1852"/>
      <c r="U202" s="1236"/>
      <c r="V202" s="1852"/>
      <c r="W202" s="1852"/>
      <c r="X202" s="1852"/>
      <c r="Y202" s="1852"/>
      <c r="Z202" s="1852"/>
      <c r="AA202" s="2324"/>
      <c r="AB202" s="1258"/>
      <c r="AC202" s="1258"/>
      <c r="AD202" s="1258"/>
      <c r="AE202" s="1258"/>
      <c r="AF202" s="2333">
        <v>11</v>
      </c>
    </row>
    <row customHeight="1" ht="11.549999999999999">
      <c r="AF203" s="2323">
        <v>11</v>
      </c>
    </row>
    <row customHeight="1" ht="11.549999999999999">
      <c r="AF204" s="2323">
        <v>11</v>
      </c>
    </row>
    <row customHeight="1" ht="11.549999999999999">
      <c r="AF205" s="2323">
        <v>11</v>
      </c>
    </row>
    <row customHeight="1" ht="11.549999999999999">
      <c r="A206" s="1682"/>
      <c r="B206" s="2323"/>
      <c r="D206" s="2323"/>
      <c r="K206" s="2323"/>
      <c r="N206" s="2323"/>
      <c r="O206" s="2323"/>
      <c r="P206" s="2323"/>
      <c r="Q206" s="2323"/>
      <c r="S206" s="2323"/>
      <c r="T206" s="2323"/>
      <c r="U206" s="2323"/>
      <c r="V206" s="2323"/>
      <c r="W206" s="2323"/>
      <c r="X206" s="2323"/>
      <c r="Y206" s="2323"/>
      <c r="Z206" s="2323"/>
      <c r="AA206" s="2323"/>
      <c r="AB206" s="2323"/>
      <c r="AC206" s="2323"/>
      <c r="AD206" s="2323"/>
      <c r="AE206" s="2323"/>
      <c r="AF206" s="2323">
        <v>11</v>
      </c>
    </row>
    <row customHeight="1" ht="11.549999999999999">
      <c r="A207" s="1682"/>
      <c r="B207" s="2323"/>
      <c r="D207" s="2323"/>
      <c r="K207" s="2323"/>
      <c r="N207" s="2323"/>
      <c r="O207" s="2323"/>
      <c r="P207" s="2323"/>
      <c r="Q207" s="2323"/>
      <c r="S207" s="2323"/>
      <c r="T207" s="2323"/>
      <c r="U207" s="2323"/>
      <c r="V207" s="2323"/>
      <c r="W207" s="2323"/>
      <c r="X207" s="2323"/>
      <c r="Y207" s="2323"/>
      <c r="Z207" s="2323"/>
      <c r="AA207" s="2323"/>
      <c r="AB207" s="2323"/>
      <c r="AC207" s="2323"/>
      <c r="AD207" s="2323"/>
      <c r="AE207" s="2323"/>
      <c r="AF207" s="2323">
        <v>11</v>
      </c>
    </row>
    <row customHeight="1" ht="11.549999999999999">
      <c r="A208" s="1682"/>
      <c r="B208" s="2323"/>
      <c r="D208" s="2323"/>
      <c r="K208" s="2323"/>
      <c r="N208" s="2323"/>
      <c r="O208" s="2323"/>
      <c r="P208" s="2323"/>
      <c r="Q208" s="2323"/>
      <c r="S208" s="2323"/>
      <c r="T208" s="2323"/>
      <c r="U208" s="2323"/>
      <c r="V208" s="2323"/>
      <c r="W208" s="2323"/>
      <c r="X208" s="2323"/>
      <c r="Y208" s="2323"/>
      <c r="Z208" s="2323"/>
      <c r="AA208" s="2323"/>
      <c r="AB208" s="2323"/>
      <c r="AC208" s="2323"/>
      <c r="AD208" s="2323"/>
      <c r="AE208" s="2323"/>
      <c r="AF208" s="2323">
        <v>11</v>
      </c>
    </row>
    <row customHeight="1" ht="11.549999999999999">
      <c r="A209" s="1682"/>
      <c r="B209" s="2323"/>
      <c r="D209" s="2323"/>
      <c r="K209" s="2323"/>
      <c r="N209" s="2323"/>
      <c r="O209" s="2323"/>
      <c r="P209" s="2323"/>
      <c r="Q209" s="2323"/>
      <c r="S209" s="2323"/>
      <c r="T209" s="2323"/>
      <c r="U209" s="2323"/>
      <c r="V209" s="2323"/>
      <c r="W209" s="2323"/>
      <c r="X209" s="2323"/>
      <c r="Y209" s="2323"/>
      <c r="Z209" s="2323"/>
      <c r="AA209" s="2323"/>
      <c r="AB209" s="2323"/>
      <c r="AC209" s="2323"/>
      <c r="AD209" s="2323"/>
      <c r="AE209" s="2323"/>
      <c r="AF209" s="2323">
        <v>11</v>
      </c>
    </row>
    <row customHeight="1" ht="11.549999999999999">
      <c r="A210" s="1682"/>
      <c r="B210" s="2323"/>
      <c r="D210" s="2323"/>
      <c r="K210" s="2323"/>
      <c r="N210" s="2323"/>
      <c r="O210" s="2323"/>
      <c r="P210" s="2323"/>
      <c r="Q210" s="2323"/>
      <c r="S210" s="2323"/>
      <c r="T210" s="2323"/>
      <c r="U210" s="2323"/>
      <c r="V210" s="2323"/>
      <c r="W210" s="2323"/>
      <c r="X210" s="2323"/>
      <c r="Y210" s="2323"/>
      <c r="Z210" s="2323"/>
      <c r="AA210" s="2323"/>
      <c r="AB210" s="2323"/>
      <c r="AC210" s="2323"/>
      <c r="AD210" s="2323"/>
      <c r="AE210" s="2323"/>
      <c r="AF210" s="2323">
        <v>11</v>
      </c>
    </row>
    <row customHeight="1" ht="11.549999999999999">
      <c r="A211" s="1682"/>
      <c r="B211" s="2323"/>
      <c r="D211" s="2323"/>
      <c r="K211" s="2323"/>
      <c r="N211" s="2323"/>
      <c r="O211" s="2323"/>
      <c r="P211" s="2323"/>
      <c r="Q211" s="2323"/>
      <c r="S211" s="2323"/>
      <c r="T211" s="2323"/>
      <c r="U211" s="2323"/>
      <c r="V211" s="2323"/>
      <c r="W211" s="2323"/>
      <c r="X211" s="2323"/>
      <c r="Y211" s="2323"/>
      <c r="Z211" s="2323"/>
      <c r="AA211" s="2323"/>
      <c r="AB211" s="2323"/>
      <c r="AC211" s="2323"/>
      <c r="AD211" s="2323"/>
      <c r="AE211" s="2323"/>
      <c r="AF211" s="2323">
        <v>11</v>
      </c>
    </row>
    <row customHeight="1" ht="11.549999999999999">
      <c r="A212" s="1682"/>
      <c r="B212" s="2323"/>
      <c r="D212" s="2323"/>
      <c r="K212" s="2323"/>
      <c r="N212" s="2323"/>
      <c r="O212" s="2323"/>
      <c r="P212" s="2323"/>
      <c r="Q212" s="2323"/>
      <c r="S212" s="2323"/>
      <c r="T212" s="2323"/>
      <c r="U212" s="2323"/>
      <c r="V212" s="2323"/>
      <c r="W212" s="2323"/>
      <c r="X212" s="2323"/>
      <c r="Y212" s="2323"/>
      <c r="Z212" s="2323"/>
      <c r="AA212" s="2323"/>
      <c r="AB212" s="2323"/>
      <c r="AC212" s="2323"/>
      <c r="AD212" s="2323"/>
      <c r="AE212" s="2323"/>
      <c r="AF212" s="2323">
        <v>11</v>
      </c>
    </row>
    <row customHeight="1" ht="11.549999999999999">
      <c r="A213" s="1682"/>
      <c r="B213" s="2323"/>
      <c r="D213" s="2323"/>
      <c r="K213" s="2323"/>
      <c r="N213" s="2323"/>
      <c r="O213" s="2323"/>
      <c r="P213" s="2323"/>
      <c r="Q213" s="2323"/>
      <c r="S213" s="2323"/>
      <c r="T213" s="2323"/>
      <c r="U213" s="2323"/>
      <c r="V213" s="2323"/>
      <c r="W213" s="2323"/>
      <c r="X213" s="2323"/>
      <c r="Y213" s="2323"/>
      <c r="Z213" s="2323"/>
      <c r="AA213" s="2323"/>
      <c r="AB213" s="2323"/>
      <c r="AC213" s="2323"/>
      <c r="AD213" s="2323"/>
      <c r="AE213" s="2323"/>
      <c r="AF213" s="2323">
        <v>11</v>
      </c>
    </row>
    <row customHeight="1" ht="11.549999999999999">
      <c r="A214" s="1682"/>
      <c r="B214" s="2323"/>
      <c r="D214" s="2323"/>
      <c r="K214" s="2323"/>
      <c r="N214" s="2323"/>
      <c r="O214" s="2323"/>
      <c r="P214" s="2323"/>
      <c r="Q214" s="2323"/>
      <c r="S214" s="2323"/>
      <c r="T214" s="2323"/>
      <c r="U214" s="2323"/>
      <c r="V214" s="2323"/>
      <c r="W214" s="2323"/>
      <c r="X214" s="2323"/>
      <c r="Y214" s="2323"/>
      <c r="Z214" s="2323"/>
      <c r="AA214" s="2323"/>
      <c r="AB214" s="2323"/>
      <c r="AC214" s="2323"/>
      <c r="AD214" s="2323"/>
      <c r="AE214" s="2323"/>
      <c r="AF214" s="2323">
        <v>11</v>
      </c>
    </row>
    <row customHeight="1" ht="11.549999999999999">
      <c r="A215" s="1682"/>
      <c r="B215" s="2323"/>
      <c r="D215" s="2323"/>
      <c r="K215" s="2323"/>
      <c r="N215" s="2323"/>
      <c r="O215" s="2323"/>
      <c r="P215" s="2323"/>
      <c r="Q215" s="2323"/>
      <c r="S215" s="2323"/>
      <c r="T215" s="2323"/>
      <c r="U215" s="2323"/>
      <c r="V215" s="2323"/>
      <c r="W215" s="2323"/>
      <c r="X215" s="2323"/>
      <c r="Y215" s="2323"/>
      <c r="Z215" s="2323"/>
      <c r="AA215" s="2323"/>
      <c r="AB215" s="2323"/>
      <c r="AC215" s="2323"/>
      <c r="AD215" s="2323"/>
      <c r="AE215" s="2323"/>
      <c r="AF215" s="2323">
        <v>11</v>
      </c>
    </row>
    <row customHeight="1" ht="11.549999999999999">
      <c r="A216" s="1682"/>
      <c r="B216" s="2323"/>
      <c r="D216" s="2323"/>
      <c r="K216" s="2323"/>
      <c r="N216" s="2323"/>
      <c r="O216" s="2323"/>
      <c r="P216" s="2323"/>
      <c r="Q216" s="2323"/>
      <c r="S216" s="2323"/>
      <c r="T216" s="2323"/>
      <c r="U216" s="2323"/>
      <c r="V216" s="2323"/>
      <c r="W216" s="2323"/>
      <c r="X216" s="2323"/>
      <c r="Y216" s="2323"/>
      <c r="Z216" s="2323"/>
      <c r="AA216" s="2323"/>
      <c r="AB216" s="2323"/>
      <c r="AC216" s="2323"/>
      <c r="AD216" s="2323"/>
      <c r="AE216" s="2323"/>
      <c r="AF216" s="2323">
        <v>11</v>
      </c>
    </row>
    <row customHeight="1" ht="11.25" hidden="1">
      <c r="A217" s="1679" t="s">
        <v>83</v>
      </c>
      <c r="B217" s="1852">
        <v>0</v>
      </c>
      <c r="C217" s="2328">
        <v>0</v>
      </c>
      <c r="D217" s="2327">
        <v>3</v>
      </c>
      <c r="E217" s="2323">
        <v>7</v>
      </c>
      <c r="F217" s="2323">
        <v>56</v>
      </c>
      <c r="G217" s="2323">
        <v>10</v>
      </c>
      <c r="H217" s="2323">
        <v>0</v>
      </c>
      <c r="I217" s="2323">
        <v>40</v>
      </c>
      <c r="J217" s="2323">
        <v>102</v>
      </c>
      <c r="K217" s="1852">
        <v>9</v>
      </c>
      <c r="L217" s="2328">
        <v>5</v>
      </c>
      <c r="M217" s="2328">
        <v>3</v>
      </c>
      <c r="N217" s="1852">
        <v>3</v>
      </c>
      <c r="O217" s="1852">
        <v>3</v>
      </c>
      <c r="P217" s="1852">
        <v>3</v>
      </c>
      <c r="Q217" s="1852">
        <v>3</v>
      </c>
      <c r="R217" s="2328">
        <v>10</v>
      </c>
      <c r="S217" s="1852">
        <v>34</v>
      </c>
      <c r="T217" s="1852">
        <v>9</v>
      </c>
      <c r="U217" s="1236">
        <v>8</v>
      </c>
      <c r="V217" s="1852">
        <v>8</v>
      </c>
      <c r="W217" s="1852">
        <v>8</v>
      </c>
      <c r="X217" s="1852">
        <v>8</v>
      </c>
      <c r="Y217" s="1852">
        <v>8</v>
      </c>
      <c r="Z217" s="1852">
        <v>8</v>
      </c>
      <c r="AA217" s="2324">
        <v>8</v>
      </c>
      <c r="AB217" s="2324">
        <v>8</v>
      </c>
      <c r="AC217" s="2324">
        <v>8</v>
      </c>
      <c r="AD217" s="2324">
        <v>8</v>
      </c>
      <c r="AE217" s="2324">
        <v>8</v>
      </c>
      <c r="AF217" s="2323">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3B4BEA-FADF-96A8-BF6C-B7BEC4568524}"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61672" width="10.7109375" hidden="1" customWidth="1"/>
    <col min="2" max="2" style="62148" width="16.8515625" hidden="1" customWidth="1"/>
    <col min="3" max="3" style="61695" width="5.57421875" hidden="1" customWidth="1"/>
    <col min="4" max="4" style="62286" width="3.00390625" customWidth="1"/>
    <col min="5" max="5" style="62286" width="7.00390625" customWidth="1"/>
    <col min="6" max="6" style="62286" width="54.00390625" customWidth="1"/>
    <col min="7" max="7" style="62286" width="10.00390625" customWidth="1"/>
    <col min="8" max="8" style="62286" width="40.7109375" hidden="1" customWidth="1"/>
    <col min="9" max="9" style="62286" width="40.00390625" customWidth="1"/>
    <col min="10" max="10" style="62286" width="102.00390625" customWidth="1"/>
    <col min="11" max="11" style="62148" width="9.00390625" customWidth="1"/>
    <col min="12" max="12" style="61695" width="5.00390625" customWidth="1"/>
    <col min="13" max="13" style="61695" width="3.00390625" customWidth="1"/>
    <col min="14" max="17" style="62148" width="3.00390625" customWidth="1"/>
    <col min="18" max="18" style="61695" width="10.00390625" customWidth="1"/>
    <col min="19" max="19" style="62148" width="34.00390625" customWidth="1"/>
    <col min="20" max="20" style="62148" width="9.00390625" customWidth="1"/>
    <col min="21" max="21" style="61673" width="8.00390625" customWidth="1"/>
    <col min="22" max="26" style="62148" width="8.00390625" customWidth="1"/>
    <col min="27" max="31" style="62759" width="8.00390625" customWidth="1"/>
    <col min="32" max="32" style="62286" width="9.140625" hidden="1"/>
  </cols>
  <sheetData>
    <row s="62148" customFormat="1" customHeight="1" ht="22.5" hidden="1">
      <c r="A1" s="1679"/>
      <c r="C1" s="2328"/>
      <c r="D1" s="1229"/>
      <c r="H1" s="1852">
        <v>4</v>
      </c>
      <c r="I1" s="1852">
        <v>4</v>
      </c>
      <c r="L1" s="2328"/>
      <c r="M1" s="2328"/>
      <c r="R1" s="2328"/>
      <c r="AF1" s="1852" t="s">
        <v>14</v>
      </c>
    </row>
    <row s="62148" customFormat="1" customHeight="1" ht="22.5" hidden="1">
      <c r="A2" s="1679"/>
      <c r="C2" s="2328"/>
      <c r="D2" s="1230"/>
      <c r="E2" s="2350"/>
      <c r="F2" s="1232"/>
      <c r="G2" s="2349" t="s">
        <v>626</v>
      </c>
      <c r="H2" s="1233"/>
      <c r="I2" s="1233"/>
      <c r="J2" s="1234" t="s">
        <v>629</v>
      </c>
      <c r="K2" s="1235"/>
      <c r="L2" s="2328"/>
      <c r="M2" s="2328"/>
      <c r="R2" s="2328"/>
      <c r="U2" s="1236"/>
      <c r="AA2" s="2324"/>
      <c r="AB2" s="2324"/>
      <c r="AC2" s="2324"/>
      <c r="AD2" s="2324"/>
      <c r="AE2" s="2324"/>
      <c r="AF2" s="1852">
        <v>0</v>
      </c>
    </row>
    <row customHeight="1" ht="11.25" hidden="1">
      <c r="AF3" s="2323">
        <v>0</v>
      </c>
    </row>
    <row s="62759" customFormat="1" customHeight="1" ht="11.25" hidden="1">
      <c r="A4" s="1679"/>
      <c r="B4" s="1852"/>
      <c r="C4" s="2328"/>
      <c r="D4" s="1054"/>
      <c r="J4" s="2324">
        <v>4</v>
      </c>
      <c r="K4" s="1852"/>
      <c r="L4" s="2328"/>
      <c r="M4" s="2328"/>
      <c r="N4" s="1852"/>
      <c r="O4" s="1852"/>
      <c r="P4" s="1852"/>
      <c r="Q4" s="1852"/>
      <c r="R4" s="2328"/>
      <c r="S4" s="1852"/>
      <c r="T4" s="1852"/>
      <c r="U4" s="1236"/>
      <c r="V4" s="1852"/>
      <c r="W4" s="1852"/>
      <c r="X4" s="1852"/>
      <c r="Y4" s="1852"/>
      <c r="Z4" s="1852"/>
      <c r="AF4" s="2324">
        <v>0</v>
      </c>
    </row>
    <row customHeight="1" ht="11.549999999999999">
      <c r="AF5" s="2323">
        <v>11</v>
      </c>
    </row>
    <row customHeight="1" ht="33.75">
      <c r="E6" s="2940" t="s">
        <v>848</v>
      </c>
      <c r="F6" s="2940"/>
      <c r="G6" s="2940"/>
      <c r="H6" s="2940"/>
      <c r="I6" s="2940"/>
      <c r="J6" s="1248"/>
      <c r="AF6" s="2323">
        <v>32</v>
      </c>
    </row>
    <row customHeight="1" ht="25.2">
      <c r="E7" s="2941" t="str">
        <f>IF(org=0,"Не определено",org)</f>
        <v>АО "ДГК"</v>
      </c>
      <c r="F7" s="2941"/>
      <c r="G7" s="2941"/>
      <c r="H7" s="2941"/>
      <c r="I7" s="2941"/>
      <c r="AF7" s="2323">
        <v>24</v>
      </c>
    </row>
    <row customHeight="1" ht="11.549999999999999">
      <c r="E8" s="1827"/>
      <c r="F8" s="1827"/>
      <c r="G8" s="1827"/>
      <c r="H8" s="1827"/>
      <c r="I8" s="1827"/>
      <c r="AF8" s="2323">
        <v>11</v>
      </c>
    </row>
    <row s="61695" customFormat="1" customHeight="1" ht="1.05">
      <c r="A9" s="1859"/>
      <c r="D9" s="2334"/>
      <c r="H9" s="1581"/>
      <c r="I9" s="1581" t="s">
        <v>125</v>
      </c>
      <c r="AF9" s="2328">
        <v>1</v>
      </c>
    </row>
    <row customHeight="1" ht="11.549999999999999">
      <c r="E10" s="1403"/>
      <c r="F10" s="3059" t="s">
        <v>114</v>
      </c>
      <c r="G10" s="3060"/>
      <c r="H10" s="2351" t="str">
        <f>IF(H9="","",INDEX(DIFFERENTIATION_UNMERGE_VD,MATCH(H9,DIFFERENTIATION_ID_DIFF,0)))</f>
        <v/>
      </c>
      <c r="I10" s="2351">
        <f>IF(I9="","",INDEX(DIFFERENTIATION_UNMERGE_VD,MATCH(I9,DIFFERENTIATION_ID_DIFF,0)))</f>
        <v>0</v>
      </c>
      <c r="J10" s="2819"/>
      <c r="AF10" s="2323">
        <v>11</v>
      </c>
    </row>
    <row customHeight="1" ht="11.549999999999999">
      <c r="E11" s="1403"/>
      <c r="F11" s="3059" t="s">
        <v>638</v>
      </c>
      <c r="G11" s="3060"/>
      <c r="H11" s="2351" t="str">
        <f>IF(H9="","",INDEX(DIFFERENTIATION_UNMERGE_AREA,MATCH(H9,DIFFERENTIATION_ID_DIFF,0)))</f>
        <v/>
      </c>
      <c r="I11" s="2351" t="str">
        <f>IF(I9="","",INDEX(DIFFERENTIATION_UNMERGE_AREA,MATCH(I9,DIFFERENTIATION_ID_DIFF,0)))</f>
        <v/>
      </c>
      <c r="J11" s="2819"/>
      <c r="AF11" s="2323">
        <v>11</v>
      </c>
    </row>
    <row customHeight="1" ht="11.25" hidden="1">
      <c r="E12" s="2354"/>
      <c r="F12" s="3082" t="s">
        <v>639</v>
      </c>
      <c r="G12" s="3083"/>
      <c r="H12" s="2355" t="str">
        <f>IF(H9="","",INDEX(DIFFERENTIATION_UNMERGE_SYSTEM,MATCH(H9,DIFFERENTIATION_ID_DIFF,0)))</f>
        <v/>
      </c>
      <c r="I12" s="2355" t="str">
        <f>IF(I9="","",INDEX(DIFFERENTIATION_UNMERGE_SYSTEM,MATCH(I9,DIFFERENTIATION_ID_DIFF,0)))</f>
        <v>без дифференциации</v>
      </c>
      <c r="J12" s="2819"/>
      <c r="AF12" s="2323">
        <v>0</v>
      </c>
    </row>
    <row customHeight="1" ht="11.549999999999999">
      <c r="E13" s="3061" t="s">
        <v>375</v>
      </c>
      <c r="F13" s="3062"/>
      <c r="G13" s="3062"/>
      <c r="H13" s="2348"/>
      <c r="I13" s="2348"/>
      <c r="J13" s="2819"/>
      <c r="AF13" s="2323">
        <v>11</v>
      </c>
    </row>
    <row customHeight="1" ht="24">
      <c r="E14" s="2349" t="s">
        <v>89</v>
      </c>
      <c r="F14" s="2352" t="s">
        <v>377</v>
      </c>
      <c r="G14" s="2352" t="s">
        <v>640</v>
      </c>
      <c r="H14" s="2352" t="s">
        <v>378</v>
      </c>
      <c r="I14" s="2352" t="s">
        <v>378</v>
      </c>
      <c r="J14" s="2819"/>
      <c r="AF14" s="2323">
        <v>23</v>
      </c>
    </row>
    <row customHeight="1" ht="19.95">
      <c r="D15" s="2330"/>
      <c r="E15" s="2322" t="s">
        <v>118</v>
      </c>
      <c r="F15" s="1399" t="s">
        <v>849</v>
      </c>
      <c r="G15" s="2349" t="s">
        <v>626</v>
      </c>
      <c r="H15" s="1249"/>
      <c r="I15" s="1249"/>
      <c r="J15" s="981" t="s">
        <v>850</v>
      </c>
      <c r="K15" s="1235" t="s">
        <v>704</v>
      </c>
      <c r="AF15" s="2323">
        <v>19</v>
      </c>
    </row>
    <row customHeight="1" ht="24">
      <c r="D16" s="2330"/>
      <c r="E16" s="2322" t="s">
        <v>103</v>
      </c>
      <c r="F16" s="2357" t="s">
        <v>851</v>
      </c>
      <c r="G16" s="2349" t="s">
        <v>626</v>
      </c>
      <c r="H16" s="1250">
        <f>SUM(H17,H20:H27)</f>
        <v>0</v>
      </c>
      <c r="I16" s="1250">
        <f>SUM(I17,I20:I27)</f>
        <v>0</v>
      </c>
      <c r="J16" s="981" t="s">
        <v>852</v>
      </c>
      <c r="K16" s="1235" t="s">
        <v>704</v>
      </c>
      <c r="AF16" s="2323">
        <v>23</v>
      </c>
    </row>
    <row customHeight="1" ht="35.699999999999996">
      <c r="D17" s="2330"/>
      <c r="E17" s="2356" t="s">
        <v>782</v>
      </c>
      <c r="F17" s="2359" t="s">
        <v>853</v>
      </c>
      <c r="G17" s="2346" t="s">
        <v>626</v>
      </c>
      <c r="H17" s="1249"/>
      <c r="I17" s="1249"/>
      <c r="J17" s="981" t="s">
        <v>854</v>
      </c>
      <c r="K17" s="1235"/>
      <c r="AF17" s="2323">
        <v>34</v>
      </c>
    </row>
    <row customHeight="1" ht="19.95">
      <c r="D18" s="2330"/>
      <c r="E18" s="2356" t="s">
        <v>785</v>
      </c>
      <c r="F18" s="2360" t="s">
        <v>855</v>
      </c>
      <c r="G18" s="2346" t="s">
        <v>626</v>
      </c>
      <c r="H18" s="1249"/>
      <c r="I18" s="1249"/>
      <c r="J18" s="981"/>
      <c r="K18" s="1235"/>
      <c r="AF18" s="2323">
        <v>19</v>
      </c>
    </row>
    <row customHeight="1" ht="24">
      <c r="D19" s="2330"/>
      <c r="E19" s="2356" t="s">
        <v>788</v>
      </c>
      <c r="F19" s="2360" t="s">
        <v>856</v>
      </c>
      <c r="G19" s="2346" t="s">
        <v>626</v>
      </c>
      <c r="H19" s="1249"/>
      <c r="I19" s="1249"/>
      <c r="J19" s="981"/>
      <c r="K19" s="1235"/>
      <c r="AF19" s="2323">
        <v>23</v>
      </c>
    </row>
    <row customHeight="1" ht="35.699999999999996">
      <c r="D20" s="2330"/>
      <c r="E20" s="2356" t="s">
        <v>382</v>
      </c>
      <c r="F20" s="2359" t="s">
        <v>857</v>
      </c>
      <c r="G20" s="2346" t="s">
        <v>626</v>
      </c>
      <c r="H20" s="1249"/>
      <c r="I20" s="1249"/>
      <c r="J20" s="981"/>
      <c r="K20" s="1235"/>
      <c r="AF20" s="2323">
        <v>34</v>
      </c>
    </row>
    <row customHeight="1" ht="48.29999999999999">
      <c r="D21" s="2330"/>
      <c r="E21" s="2356" t="s">
        <v>385</v>
      </c>
      <c r="F21" s="2359" t="s">
        <v>858</v>
      </c>
      <c r="G21" s="2346" t="s">
        <v>626</v>
      </c>
      <c r="H21" s="1249"/>
      <c r="I21" s="1249"/>
      <c r="J21" s="981"/>
      <c r="K21" s="1235"/>
      <c r="AF21" s="2323">
        <v>46</v>
      </c>
    </row>
    <row customHeight="1" ht="60">
      <c r="D22" s="2330"/>
      <c r="E22" s="2356" t="s">
        <v>802</v>
      </c>
      <c r="F22" s="2359" t="s">
        <v>859</v>
      </c>
      <c r="G22" s="2346" t="s">
        <v>626</v>
      </c>
      <c r="H22" s="1249"/>
      <c r="I22" s="1249"/>
      <c r="J22" s="981"/>
      <c r="K22" s="1235"/>
      <c r="AF22" s="2323">
        <v>57</v>
      </c>
    </row>
    <row customHeight="1" ht="35.699999999999996">
      <c r="D23" s="2330"/>
      <c r="E23" s="2356" t="s">
        <v>809</v>
      </c>
      <c r="F23" s="2359" t="s">
        <v>860</v>
      </c>
      <c r="G23" s="2346" t="s">
        <v>626</v>
      </c>
      <c r="H23" s="1249"/>
      <c r="I23" s="1249"/>
      <c r="J23" s="981"/>
      <c r="K23" s="1235"/>
      <c r="AF23" s="2323">
        <v>34</v>
      </c>
    </row>
    <row customHeight="1" ht="35.699999999999996">
      <c r="D24" s="2330"/>
      <c r="E24" s="2356" t="s">
        <v>811</v>
      </c>
      <c r="F24" s="2359" t="s">
        <v>861</v>
      </c>
      <c r="G24" s="2346" t="s">
        <v>626</v>
      </c>
      <c r="H24" s="1249"/>
      <c r="I24" s="1249"/>
      <c r="J24" s="981"/>
      <c r="K24" s="1235"/>
      <c r="AF24" s="2323">
        <v>34</v>
      </c>
    </row>
    <row customHeight="1" ht="24">
      <c r="D25" s="2330"/>
      <c r="E25" s="2356" t="s">
        <v>813</v>
      </c>
      <c r="F25" s="2359" t="s">
        <v>862</v>
      </c>
      <c r="G25" s="2346" t="s">
        <v>626</v>
      </c>
      <c r="H25" s="1249"/>
      <c r="I25" s="1249"/>
      <c r="J25" s="981"/>
      <c r="K25" s="1235"/>
      <c r="AF25" s="2323">
        <v>23</v>
      </c>
    </row>
    <row customHeight="1" ht="76.5">
      <c r="D26" s="2330"/>
      <c r="E26" s="2356" t="s">
        <v>815</v>
      </c>
      <c r="F26" s="2359" t="s">
        <v>863</v>
      </c>
      <c r="G26" s="2346" t="s">
        <v>626</v>
      </c>
      <c r="H26" s="1249"/>
      <c r="I26" s="1249"/>
      <c r="J26" s="981"/>
      <c r="K26" s="1235"/>
      <c r="AF26" s="2323">
        <v>73</v>
      </c>
    </row>
    <row s="62148" customFormat="1" customHeight="1" ht="35.699999999999996">
      <c r="A27" s="1679"/>
      <c r="C27" s="2328"/>
      <c r="D27" s="2330"/>
      <c r="E27" s="2321" t="s">
        <v>819</v>
      </c>
      <c r="F27" s="2320" t="s">
        <v>864</v>
      </c>
      <c r="G27" s="2347" t="s">
        <v>626</v>
      </c>
      <c r="H27" s="1271">
        <f>SUM(H28:H29)</f>
        <v>0</v>
      </c>
      <c r="I27" s="1271">
        <f>SUM(I28:I29)</f>
        <v>0</v>
      </c>
      <c r="J27" s="981" t="s">
        <v>817</v>
      </c>
      <c r="K27" s="1235"/>
      <c r="L27" s="2328"/>
      <c r="M27" s="2328"/>
      <c r="R27" s="2328"/>
      <c r="U27" s="1236"/>
      <c r="AA27" s="2324"/>
      <c r="AB27" s="2324"/>
      <c r="AC27" s="2324"/>
      <c r="AD27" s="2324"/>
      <c r="AE27" s="2324"/>
      <c r="AF27" s="1852">
        <v>34</v>
      </c>
    </row>
    <row s="61695" customFormat="1" customHeight="1" ht="1.05">
      <c r="A28" s="1859"/>
      <c r="D28" s="1240"/>
      <c r="E28" s="1494" t="str">
        <f>E27&amp;".0"</f>
        <v>2.9.0</v>
      </c>
      <c r="F28" s="1683"/>
      <c r="G28" s="1243"/>
      <c r="H28" s="1684"/>
      <c r="I28" s="1684"/>
      <c r="J28" s="1685"/>
      <c r="AF28" s="2328">
        <v>1</v>
      </c>
    </row>
    <row s="62148" customFormat="1" customHeight="1" ht="19.95">
      <c r="A29" s="1679"/>
      <c r="C29" s="2328"/>
      <c r="D29" s="2325"/>
      <c r="E29" s="1262"/>
      <c r="F29" s="2358" t="s">
        <v>651</v>
      </c>
      <c r="G29" s="1264"/>
      <c r="H29" s="1265"/>
      <c r="I29" s="1265"/>
      <c r="J29" s="993" t="s">
        <v>818</v>
      </c>
      <c r="K29" s="1235"/>
      <c r="L29" s="2328"/>
      <c r="M29" s="2328"/>
      <c r="R29" s="2328"/>
      <c r="U29" s="1236"/>
      <c r="AA29" s="2324"/>
      <c r="AB29" s="2324"/>
      <c r="AC29" s="2324"/>
      <c r="AD29" s="2324"/>
      <c r="AE29" s="2324"/>
      <c r="AF29" s="1852">
        <v>19</v>
      </c>
    </row>
    <row s="62148" customFormat="1" customHeight="1" ht="24">
      <c r="A30" s="1679"/>
      <c r="C30" s="2328"/>
      <c r="D30" s="2330"/>
      <c r="E30" s="2356" t="s">
        <v>91</v>
      </c>
      <c r="F30" s="2353" t="s">
        <v>865</v>
      </c>
      <c r="G30" s="2346" t="s">
        <v>626</v>
      </c>
      <c r="H30" s="1249"/>
      <c r="I30" s="1249"/>
      <c r="J30" s="981"/>
      <c r="K30" s="1235"/>
      <c r="L30" s="2328"/>
      <c r="M30" s="2328"/>
      <c r="R30" s="2328"/>
      <c r="U30" s="1236"/>
      <c r="AA30" s="2324"/>
      <c r="AB30" s="2324"/>
      <c r="AC30" s="2324"/>
      <c r="AD30" s="2324"/>
      <c r="AE30" s="2324"/>
      <c r="AF30" s="1852">
        <v>23</v>
      </c>
    </row>
    <row s="62148" customFormat="1" customHeight="1" ht="35.699999999999996">
      <c r="A31" s="1679"/>
      <c r="C31" s="2328"/>
      <c r="D31" s="1267"/>
      <c r="E31" s="2356" t="s">
        <v>92</v>
      </c>
      <c r="F31" s="2353" t="s">
        <v>866</v>
      </c>
      <c r="G31" s="2346" t="s">
        <v>626</v>
      </c>
      <c r="H31" s="1249"/>
      <c r="I31" s="1249"/>
      <c r="J31" s="981" t="s">
        <v>867</v>
      </c>
      <c r="K31" s="1235"/>
      <c r="L31" s="2328"/>
      <c r="M31" s="2328"/>
      <c r="R31" s="2328"/>
      <c r="U31" s="1236"/>
      <c r="AA31" s="2324"/>
      <c r="AB31" s="2324"/>
      <c r="AC31" s="2324"/>
      <c r="AD31" s="2324"/>
      <c r="AE31" s="2324"/>
      <c r="AF31" s="1852">
        <v>34</v>
      </c>
    </row>
    <row s="62148" customFormat="1" customHeight="1" ht="24">
      <c r="A32" s="1679"/>
      <c r="C32" s="2328"/>
      <c r="D32" s="2330"/>
      <c r="E32" s="2356" t="s">
        <v>827</v>
      </c>
      <c r="F32" s="1382" t="s">
        <v>831</v>
      </c>
      <c r="G32" s="2346" t="s">
        <v>626</v>
      </c>
      <c r="H32" s="1249"/>
      <c r="I32" s="1249"/>
      <c r="J32" s="981" t="s">
        <v>868</v>
      </c>
      <c r="K32" s="1235"/>
      <c r="L32" s="2328"/>
      <c r="M32" s="2328"/>
      <c r="R32" s="2328"/>
      <c r="U32" s="1236"/>
      <c r="AA32" s="2324"/>
      <c r="AB32" s="2324"/>
      <c r="AC32" s="2324"/>
      <c r="AD32" s="2324"/>
      <c r="AE32" s="2324"/>
      <c r="AF32" s="1852">
        <v>23</v>
      </c>
    </row>
    <row s="62148" customFormat="1" customHeight="1" ht="24">
      <c r="A33" s="1679"/>
      <c r="C33" s="2328"/>
      <c r="D33" s="2330"/>
      <c r="E33" s="2356" t="s">
        <v>869</v>
      </c>
      <c r="F33" s="1382" t="s">
        <v>870</v>
      </c>
      <c r="G33" s="2346" t="s">
        <v>626</v>
      </c>
      <c r="H33" s="1249"/>
      <c r="I33" s="1249"/>
      <c r="J33" s="981" t="s">
        <v>871</v>
      </c>
      <c r="K33" s="1235"/>
      <c r="L33" s="2328"/>
      <c r="M33" s="2328"/>
      <c r="R33" s="2328"/>
      <c r="U33" s="1236"/>
      <c r="AA33" s="2324"/>
      <c r="AB33" s="2324"/>
      <c r="AC33" s="2324"/>
      <c r="AD33" s="2324"/>
      <c r="AE33" s="2324"/>
      <c r="AF33" s="1852">
        <v>23</v>
      </c>
    </row>
    <row s="62148" customFormat="1" customHeight="1" ht="24">
      <c r="A34" s="1679"/>
      <c r="C34" s="2328"/>
      <c r="D34" s="2330"/>
      <c r="E34" s="2356" t="s">
        <v>872</v>
      </c>
      <c r="F34" s="1382" t="s">
        <v>837</v>
      </c>
      <c r="G34" s="2346" t="s">
        <v>626</v>
      </c>
      <c r="H34" s="1249"/>
      <c r="I34" s="1249"/>
      <c r="J34" s="981" t="s">
        <v>873</v>
      </c>
      <c r="K34" s="1235"/>
      <c r="L34" s="2328"/>
      <c r="M34" s="2328"/>
      <c r="R34" s="2328"/>
      <c r="U34" s="1236"/>
      <c r="AA34" s="2324"/>
      <c r="AB34" s="2324"/>
      <c r="AC34" s="2324"/>
      <c r="AD34" s="2324"/>
      <c r="AE34" s="2324"/>
      <c r="AF34" s="1852">
        <v>23</v>
      </c>
    </row>
    <row s="62148" customFormat="1" customHeight="1" ht="35.699999999999996">
      <c r="A35" s="1679"/>
      <c r="C35" s="2328" t="s">
        <v>662</v>
      </c>
      <c r="D35" s="2330"/>
      <c r="E35" s="2356" t="s">
        <v>119</v>
      </c>
      <c r="F35" s="2353" t="s">
        <v>703</v>
      </c>
      <c r="G35" s="2349" t="s">
        <v>381</v>
      </c>
      <c r="H35" s="1093"/>
      <c r="I35" s="1093"/>
      <c r="J35" s="981" t="s">
        <v>874</v>
      </c>
      <c r="K35" s="1235"/>
      <c r="L35" s="2328"/>
      <c r="M35" s="2328"/>
      <c r="R35" s="2328"/>
      <c r="U35" s="1236"/>
      <c r="AA35" s="2324"/>
      <c r="AB35" s="2324"/>
      <c r="AC35" s="2324"/>
      <c r="AD35" s="2324"/>
      <c r="AE35" s="2324"/>
      <c r="AF35" s="1852">
        <v>34</v>
      </c>
    </row>
    <row s="62148" customFormat="1" customHeight="1" ht="35.699999999999996">
      <c r="A36" s="1679"/>
      <c r="C36" s="2328"/>
      <c r="D36" s="2330"/>
      <c r="E36" s="2356" t="s">
        <v>93</v>
      </c>
      <c r="F36" s="2353" t="s">
        <v>875</v>
      </c>
      <c r="G36" s="2346" t="s">
        <v>842</v>
      </c>
      <c r="H36" s="1237"/>
      <c r="I36" s="1237"/>
      <c r="J36" s="981" t="s">
        <v>843</v>
      </c>
      <c r="K36" s="1235"/>
      <c r="L36" s="2328"/>
      <c r="M36" s="2328"/>
      <c r="R36" s="2328"/>
      <c r="U36" s="1236"/>
      <c r="AA36" s="2324"/>
      <c r="AB36" s="2324"/>
      <c r="AC36" s="2324"/>
      <c r="AD36" s="2324"/>
      <c r="AE36" s="2324"/>
      <c r="AF36" s="1852">
        <v>34</v>
      </c>
    </row>
    <row s="62148" customFormat="1" customHeight="1" ht="24">
      <c r="A37" s="1679"/>
      <c r="C37" s="2328"/>
      <c r="D37" s="2330"/>
      <c r="E37" s="2356" t="s">
        <v>94</v>
      </c>
      <c r="F37" s="2353" t="s">
        <v>876</v>
      </c>
      <c r="G37" s="2346" t="s">
        <v>845</v>
      </c>
      <c r="H37" s="1237"/>
      <c r="I37" s="1237"/>
      <c r="J37" s="981" t="s">
        <v>846</v>
      </c>
      <c r="K37" s="1235"/>
      <c r="L37" s="2328"/>
      <c r="M37" s="2328"/>
      <c r="R37" s="2328"/>
      <c r="U37" s="1236"/>
      <c r="AA37" s="2324"/>
      <c r="AB37" s="2324"/>
      <c r="AC37" s="2324"/>
      <c r="AD37" s="2324"/>
      <c r="AE37" s="2324"/>
      <c r="AF37" s="1852">
        <v>23</v>
      </c>
    </row>
    <row customHeight="1" ht="11.549999999999999">
      <c r="D38" s="2330"/>
      <c r="AF38" s="2323">
        <v>11</v>
      </c>
    </row>
    <row customHeight="1" ht="27.299999999999997">
      <c r="D39" s="2330"/>
      <c r="E39" s="1945" t="s">
        <v>877</v>
      </c>
      <c r="F39" s="2977" t="s">
        <v>878</v>
      </c>
      <c r="G39" s="2977"/>
      <c r="H39" s="1061"/>
      <c r="I39" s="1061"/>
      <c r="J39" s="1061"/>
      <c r="AF39" s="2323">
        <v>26</v>
      </c>
    </row>
    <row s="61193" customFormat="1" customHeight="1" ht="39.75">
      <c r="A40" s="1679"/>
      <c r="B40" s="2328"/>
      <c r="C40" s="2328"/>
      <c r="D40" s="1043"/>
      <c r="F40" s="2977" t="s">
        <v>879</v>
      </c>
      <c r="G40" s="2977"/>
      <c r="H40" s="1061"/>
      <c r="I40" s="1061"/>
      <c r="J40" s="1061"/>
      <c r="K40" s="1852"/>
      <c r="L40" s="2328"/>
      <c r="M40" s="2328"/>
      <c r="N40" s="1852"/>
      <c r="O40" s="1852"/>
      <c r="P40" s="1852"/>
      <c r="Q40" s="1852"/>
      <c r="R40" s="2328"/>
      <c r="S40" s="1852"/>
      <c r="T40" s="1852"/>
      <c r="U40" s="1236"/>
      <c r="V40" s="1852"/>
      <c r="W40" s="1852"/>
      <c r="X40" s="1852"/>
      <c r="Y40" s="1852"/>
      <c r="Z40" s="1852"/>
      <c r="AA40" s="2324"/>
      <c r="AB40" s="1258"/>
      <c r="AC40" s="1258"/>
      <c r="AD40" s="1258"/>
      <c r="AE40" s="1258"/>
      <c r="AF40" s="2333">
        <v>38</v>
      </c>
    </row>
    <row s="61193" customFormat="1" customHeight="1" ht="11.549999999999999">
      <c r="A41" s="1679"/>
      <c r="B41" s="2328"/>
      <c r="C41" s="2328"/>
      <c r="D41" s="1043"/>
      <c r="K41" s="1852"/>
      <c r="L41" s="2328"/>
      <c r="M41" s="2328"/>
      <c r="N41" s="1852"/>
      <c r="O41" s="1852"/>
      <c r="P41" s="1852"/>
      <c r="Q41" s="1852"/>
      <c r="R41" s="2328"/>
      <c r="S41" s="1852"/>
      <c r="T41" s="1852"/>
      <c r="U41" s="1236"/>
      <c r="V41" s="1852"/>
      <c r="W41" s="1852"/>
      <c r="X41" s="1852"/>
      <c r="Y41" s="1852"/>
      <c r="Z41" s="1852"/>
      <c r="AA41" s="2324"/>
      <c r="AB41" s="1258"/>
      <c r="AC41" s="1258"/>
      <c r="AD41" s="1258"/>
      <c r="AE41" s="1258"/>
      <c r="AF41" s="2333">
        <v>11</v>
      </c>
    </row>
    <row s="61193" customFormat="1" customHeight="1" ht="11.549999999999999">
      <c r="A42" s="1679"/>
      <c r="B42" s="2328"/>
      <c r="C42" s="2328"/>
      <c r="D42" s="1043"/>
      <c r="K42" s="1852"/>
      <c r="L42" s="2328"/>
      <c r="M42" s="2328"/>
      <c r="N42" s="1852"/>
      <c r="O42" s="1852"/>
      <c r="P42" s="1852"/>
      <c r="Q42" s="1852"/>
      <c r="R42" s="2328"/>
      <c r="S42" s="1852"/>
      <c r="T42" s="1852"/>
      <c r="U42" s="1236"/>
      <c r="V42" s="1852"/>
      <c r="W42" s="1852"/>
      <c r="X42" s="1852"/>
      <c r="Y42" s="1852"/>
      <c r="Z42" s="1852"/>
      <c r="AA42" s="2324"/>
      <c r="AB42" s="1258"/>
      <c r="AC42" s="1258"/>
      <c r="AD42" s="1258"/>
      <c r="AE42" s="1258"/>
      <c r="AF42" s="2333">
        <v>11</v>
      </c>
    </row>
    <row s="61193" customFormat="1" customHeight="1" ht="11.549999999999999">
      <c r="A43" s="1679"/>
      <c r="B43" s="2328"/>
      <c r="C43" s="2328"/>
      <c r="D43" s="1043"/>
      <c r="H43" s="1258"/>
      <c r="I43" s="1258"/>
      <c r="K43" s="1852"/>
      <c r="L43" s="2328"/>
      <c r="M43" s="2328"/>
      <c r="N43" s="1852"/>
      <c r="O43" s="1852"/>
      <c r="P43" s="1852"/>
      <c r="Q43" s="1852"/>
      <c r="R43" s="2328"/>
      <c r="S43" s="1852"/>
      <c r="T43" s="1852"/>
      <c r="U43" s="1236"/>
      <c r="V43" s="1852"/>
      <c r="W43" s="1852"/>
      <c r="X43" s="1852"/>
      <c r="Y43" s="1852"/>
      <c r="Z43" s="1852"/>
      <c r="AA43" s="2324"/>
      <c r="AB43" s="1258"/>
      <c r="AC43" s="1258"/>
      <c r="AD43" s="1258"/>
      <c r="AE43" s="1258"/>
      <c r="AF43" s="2333">
        <v>11</v>
      </c>
    </row>
    <row s="61193" customFormat="1" customHeight="1" ht="11.549999999999999">
      <c r="A44" s="1679"/>
      <c r="B44" s="2328"/>
      <c r="C44" s="2328"/>
      <c r="D44" s="1043"/>
      <c r="K44" s="1852"/>
      <c r="L44" s="2328"/>
      <c r="M44" s="2328"/>
      <c r="N44" s="1852"/>
      <c r="O44" s="1852"/>
      <c r="P44" s="1852"/>
      <c r="Q44" s="1852"/>
      <c r="R44" s="2328"/>
      <c r="S44" s="1852"/>
      <c r="T44" s="1852"/>
      <c r="U44" s="1236"/>
      <c r="V44" s="1852"/>
      <c r="W44" s="1852"/>
      <c r="X44" s="1852"/>
      <c r="Y44" s="1852"/>
      <c r="Z44" s="1852"/>
      <c r="AA44" s="2324"/>
      <c r="AB44" s="1258"/>
      <c r="AC44" s="1258"/>
      <c r="AD44" s="1258"/>
      <c r="AE44" s="1258"/>
      <c r="AF44" s="2333">
        <v>11</v>
      </c>
    </row>
    <row s="61193" customFormat="1" customHeight="1" ht="11.549999999999999">
      <c r="A45" s="1679"/>
      <c r="B45" s="2328"/>
      <c r="C45" s="2328"/>
      <c r="D45" s="1043"/>
      <c r="K45" s="1852"/>
      <c r="L45" s="2328"/>
      <c r="M45" s="2328"/>
      <c r="N45" s="1852"/>
      <c r="O45" s="1852"/>
      <c r="P45" s="1852"/>
      <c r="Q45" s="1852"/>
      <c r="R45" s="2328"/>
      <c r="S45" s="1852"/>
      <c r="T45" s="1852"/>
      <c r="U45" s="1236"/>
      <c r="V45" s="1852"/>
      <c r="W45" s="1852"/>
      <c r="X45" s="1852"/>
      <c r="Y45" s="1852"/>
      <c r="Z45" s="1852"/>
      <c r="AA45" s="2324"/>
      <c r="AB45" s="1258"/>
      <c r="AC45" s="1258"/>
      <c r="AD45" s="1258"/>
      <c r="AE45" s="1258"/>
      <c r="AF45" s="2333">
        <v>11</v>
      </c>
    </row>
    <row s="61193" customFormat="1" customHeight="1" ht="11.549999999999999">
      <c r="A46" s="1679"/>
      <c r="B46" s="2328"/>
      <c r="C46" s="2328"/>
      <c r="D46" s="1043"/>
      <c r="K46" s="1852"/>
      <c r="L46" s="2328"/>
      <c r="M46" s="2328"/>
      <c r="N46" s="1852"/>
      <c r="O46" s="1852"/>
      <c r="P46" s="1852"/>
      <c r="Q46" s="1852"/>
      <c r="R46" s="2328"/>
      <c r="S46" s="1852"/>
      <c r="T46" s="1852"/>
      <c r="U46" s="1236"/>
      <c r="V46" s="1852"/>
      <c r="W46" s="1852"/>
      <c r="X46" s="1852"/>
      <c r="Y46" s="1852"/>
      <c r="Z46" s="1852"/>
      <c r="AA46" s="2324"/>
      <c r="AB46" s="1258"/>
      <c r="AC46" s="1258"/>
      <c r="AD46" s="1258"/>
      <c r="AE46" s="1258"/>
      <c r="AF46" s="2333">
        <v>11</v>
      </c>
    </row>
    <row s="61193" customFormat="1" customHeight="1" ht="11.549999999999999">
      <c r="A47" s="1679"/>
      <c r="B47" s="2328"/>
      <c r="C47" s="2328"/>
      <c r="D47" s="1043"/>
      <c r="K47" s="1852"/>
      <c r="L47" s="2328"/>
      <c r="M47" s="2328"/>
      <c r="N47" s="1852"/>
      <c r="O47" s="1852"/>
      <c r="P47" s="1852"/>
      <c r="Q47" s="1852"/>
      <c r="R47" s="2328"/>
      <c r="S47" s="1852"/>
      <c r="T47" s="1852"/>
      <c r="U47" s="1236"/>
      <c r="V47" s="1852"/>
      <c r="W47" s="1852"/>
      <c r="X47" s="1852"/>
      <c r="Y47" s="1852"/>
      <c r="Z47" s="1852"/>
      <c r="AA47" s="2324"/>
      <c r="AB47" s="1258"/>
      <c r="AC47" s="1258"/>
      <c r="AD47" s="1258"/>
      <c r="AE47" s="1258"/>
      <c r="AF47" s="2333">
        <v>11</v>
      </c>
    </row>
    <row s="61193" customFormat="1" customHeight="1" ht="11.549999999999999">
      <c r="A48" s="1679"/>
      <c r="B48" s="2328"/>
      <c r="C48" s="2328"/>
      <c r="D48" s="1043"/>
      <c r="K48" s="1852"/>
      <c r="L48" s="2328"/>
      <c r="M48" s="2328"/>
      <c r="N48" s="1852"/>
      <c r="O48" s="1852"/>
      <c r="P48" s="1852"/>
      <c r="Q48" s="1852"/>
      <c r="R48" s="2328"/>
      <c r="S48" s="1852"/>
      <c r="T48" s="1852"/>
      <c r="U48" s="1236"/>
      <c r="V48" s="1852"/>
      <c r="W48" s="1852"/>
      <c r="X48" s="1852"/>
      <c r="Y48" s="1852"/>
      <c r="Z48" s="1852"/>
      <c r="AA48" s="2324"/>
      <c r="AB48" s="1258"/>
      <c r="AC48" s="1258"/>
      <c r="AD48" s="1258"/>
      <c r="AE48" s="1258"/>
      <c r="AF48" s="2333">
        <v>11</v>
      </c>
    </row>
    <row s="61193" customFormat="1" customHeight="1" ht="11.549999999999999">
      <c r="A49" s="1679"/>
      <c r="B49" s="2328"/>
      <c r="C49" s="2328"/>
      <c r="D49" s="1043"/>
      <c r="K49" s="1852"/>
      <c r="L49" s="2328"/>
      <c r="M49" s="2328"/>
      <c r="N49" s="1852"/>
      <c r="O49" s="1852"/>
      <c r="P49" s="1852"/>
      <c r="Q49" s="1852"/>
      <c r="R49" s="2328"/>
      <c r="S49" s="1852"/>
      <c r="T49" s="1852"/>
      <c r="U49" s="1236"/>
      <c r="V49" s="1852"/>
      <c r="W49" s="1852"/>
      <c r="X49" s="1852"/>
      <c r="Y49" s="1852"/>
      <c r="Z49" s="1852"/>
      <c r="AA49" s="2324"/>
      <c r="AB49" s="1258"/>
      <c r="AC49" s="1258"/>
      <c r="AD49" s="1258"/>
      <c r="AE49" s="1258"/>
      <c r="AF49" s="2333">
        <v>11</v>
      </c>
    </row>
    <row s="61193" customFormat="1" customHeight="1" ht="11.549999999999999">
      <c r="A50" s="1679"/>
      <c r="B50" s="2328"/>
      <c r="C50" s="2328"/>
      <c r="D50" s="1043"/>
      <c r="K50" s="1852"/>
      <c r="L50" s="2328"/>
      <c r="M50" s="2328"/>
      <c r="N50" s="1852"/>
      <c r="O50" s="1852"/>
      <c r="P50" s="1852"/>
      <c r="Q50" s="1852"/>
      <c r="R50" s="2328"/>
      <c r="S50" s="1852"/>
      <c r="T50" s="1852"/>
      <c r="U50" s="1236"/>
      <c r="V50" s="1852"/>
      <c r="W50" s="1852"/>
      <c r="X50" s="1852"/>
      <c r="Y50" s="1852"/>
      <c r="Z50" s="1852"/>
      <c r="AA50" s="2324"/>
      <c r="AB50" s="1258"/>
      <c r="AC50" s="1258"/>
      <c r="AD50" s="1258"/>
      <c r="AE50" s="1258"/>
      <c r="AF50" s="2333">
        <v>11</v>
      </c>
    </row>
    <row s="61193" customFormat="1" customHeight="1" ht="11.549999999999999">
      <c r="A51" s="1679"/>
      <c r="B51" s="2328"/>
      <c r="C51" s="2328"/>
      <c r="D51" s="1043"/>
      <c r="K51" s="1852"/>
      <c r="L51" s="2328"/>
      <c r="M51" s="2328"/>
      <c r="N51" s="1852"/>
      <c r="O51" s="1852"/>
      <c r="P51" s="1852"/>
      <c r="Q51" s="1852"/>
      <c r="R51" s="2328"/>
      <c r="S51" s="1852"/>
      <c r="T51" s="1852"/>
      <c r="U51" s="1236"/>
      <c r="V51" s="1852"/>
      <c r="W51" s="1852"/>
      <c r="X51" s="1852"/>
      <c r="Y51" s="1852"/>
      <c r="Z51" s="1852"/>
      <c r="AA51" s="2324"/>
      <c r="AB51" s="1258"/>
      <c r="AC51" s="1258"/>
      <c r="AD51" s="1258"/>
      <c r="AE51" s="1258"/>
      <c r="AF51" s="2333">
        <v>11</v>
      </c>
    </row>
    <row s="61193" customFormat="1" customHeight="1" ht="11.549999999999999">
      <c r="A52" s="1679"/>
      <c r="B52" s="2328"/>
      <c r="C52" s="2328"/>
      <c r="D52" s="1043"/>
      <c r="K52" s="1852"/>
      <c r="L52" s="2328"/>
      <c r="M52" s="2328"/>
      <c r="N52" s="1852"/>
      <c r="O52" s="1852"/>
      <c r="P52" s="1852"/>
      <c r="Q52" s="1852"/>
      <c r="R52" s="2328"/>
      <c r="S52" s="1852"/>
      <c r="T52" s="1852"/>
      <c r="U52" s="1236"/>
      <c r="V52" s="1852"/>
      <c r="W52" s="1852"/>
      <c r="X52" s="1852"/>
      <c r="Y52" s="1852"/>
      <c r="Z52" s="1852"/>
      <c r="AA52" s="2324"/>
      <c r="AB52" s="1258"/>
      <c r="AC52" s="1258"/>
      <c r="AD52" s="1258"/>
      <c r="AE52" s="1258"/>
      <c r="AF52" s="2333">
        <v>11</v>
      </c>
    </row>
    <row s="61193" customFormat="1" customHeight="1" ht="11.549999999999999">
      <c r="A53" s="1679"/>
      <c r="B53" s="2328"/>
      <c r="C53" s="2328"/>
      <c r="D53" s="1043"/>
      <c r="K53" s="1852"/>
      <c r="L53" s="2328"/>
      <c r="M53" s="2328"/>
      <c r="N53" s="1852"/>
      <c r="O53" s="1852"/>
      <c r="P53" s="1852"/>
      <c r="Q53" s="1852"/>
      <c r="R53" s="2328"/>
      <c r="S53" s="1852"/>
      <c r="T53" s="1852"/>
      <c r="U53" s="1236"/>
      <c r="V53" s="1852"/>
      <c r="W53" s="1852"/>
      <c r="X53" s="1852"/>
      <c r="Y53" s="1852"/>
      <c r="Z53" s="1852"/>
      <c r="AA53" s="2324"/>
      <c r="AB53" s="1258"/>
      <c r="AC53" s="1258"/>
      <c r="AD53" s="1258"/>
      <c r="AE53" s="1258"/>
      <c r="AF53" s="2333">
        <v>11</v>
      </c>
    </row>
    <row s="61193" customFormat="1" customHeight="1" ht="11.549999999999999">
      <c r="A54" s="1679"/>
      <c r="B54" s="2328"/>
      <c r="C54" s="2328"/>
      <c r="D54" s="1043"/>
      <c r="K54" s="1852"/>
      <c r="L54" s="2328"/>
      <c r="M54" s="2328"/>
      <c r="N54" s="1852"/>
      <c r="O54" s="1852"/>
      <c r="P54" s="1852"/>
      <c r="Q54" s="1852"/>
      <c r="R54" s="2328"/>
      <c r="S54" s="1852"/>
      <c r="T54" s="1852"/>
      <c r="U54" s="1236"/>
      <c r="V54" s="1852"/>
      <c r="W54" s="1852"/>
      <c r="X54" s="1852"/>
      <c r="Y54" s="1852"/>
      <c r="Z54" s="1852"/>
      <c r="AA54" s="2324"/>
      <c r="AB54" s="1258"/>
      <c r="AC54" s="1258"/>
      <c r="AD54" s="1258"/>
      <c r="AE54" s="1258"/>
      <c r="AF54" s="2333">
        <v>11</v>
      </c>
    </row>
    <row s="61193" customFormat="1" customHeight="1" ht="11.549999999999999">
      <c r="A55" s="1679"/>
      <c r="B55" s="2328"/>
      <c r="C55" s="2328"/>
      <c r="D55" s="1043"/>
      <c r="K55" s="1852"/>
      <c r="L55" s="2328"/>
      <c r="M55" s="2328"/>
      <c r="N55" s="1852"/>
      <c r="O55" s="1852"/>
      <c r="P55" s="1852"/>
      <c r="Q55" s="1852"/>
      <c r="R55" s="2328"/>
      <c r="S55" s="1852"/>
      <c r="T55" s="1852"/>
      <c r="U55" s="1236"/>
      <c r="V55" s="1852"/>
      <c r="W55" s="1852"/>
      <c r="X55" s="1852"/>
      <c r="Y55" s="1852"/>
      <c r="Z55" s="1852"/>
      <c r="AA55" s="2324"/>
      <c r="AB55" s="1258"/>
      <c r="AC55" s="1258"/>
      <c r="AD55" s="1258"/>
      <c r="AE55" s="1258"/>
      <c r="AF55" s="2333">
        <v>11</v>
      </c>
    </row>
    <row s="61193" customFormat="1" customHeight="1" ht="11.549999999999999">
      <c r="A56" s="1679"/>
      <c r="B56" s="2328"/>
      <c r="C56" s="2328"/>
      <c r="D56" s="1043"/>
      <c r="K56" s="1852"/>
      <c r="L56" s="2328"/>
      <c r="M56" s="2328"/>
      <c r="N56" s="1852"/>
      <c r="O56" s="1852"/>
      <c r="P56" s="1852"/>
      <c r="Q56" s="1852"/>
      <c r="R56" s="2328"/>
      <c r="S56" s="1852"/>
      <c r="T56" s="1852"/>
      <c r="U56" s="1236"/>
      <c r="V56" s="1852"/>
      <c r="W56" s="1852"/>
      <c r="X56" s="1852"/>
      <c r="Y56" s="1852"/>
      <c r="Z56" s="1852"/>
      <c r="AA56" s="2324"/>
      <c r="AB56" s="1258"/>
      <c r="AC56" s="1258"/>
      <c r="AD56" s="1258"/>
      <c r="AE56" s="1258"/>
      <c r="AF56" s="2333">
        <v>11</v>
      </c>
    </row>
    <row s="61193" customFormat="1" customHeight="1" ht="11.549999999999999">
      <c r="A57" s="1679"/>
      <c r="B57" s="2328"/>
      <c r="C57" s="2328"/>
      <c r="D57" s="1043"/>
      <c r="K57" s="1852"/>
      <c r="L57" s="2328"/>
      <c r="M57" s="2328"/>
      <c r="N57" s="1852"/>
      <c r="O57" s="1852"/>
      <c r="P57" s="1852"/>
      <c r="Q57" s="1852"/>
      <c r="R57" s="2328"/>
      <c r="S57" s="1852"/>
      <c r="T57" s="1852"/>
      <c r="U57" s="1236"/>
      <c r="V57" s="1852"/>
      <c r="W57" s="1852"/>
      <c r="X57" s="1852"/>
      <c r="Y57" s="1852"/>
      <c r="Z57" s="1852"/>
      <c r="AA57" s="2324"/>
      <c r="AB57" s="1258"/>
      <c r="AC57" s="1258"/>
      <c r="AD57" s="1258"/>
      <c r="AE57" s="1258"/>
      <c r="AF57" s="2333">
        <v>11</v>
      </c>
    </row>
    <row s="61193" customFormat="1" customHeight="1" ht="11.549999999999999">
      <c r="A58" s="1679"/>
      <c r="B58" s="2328"/>
      <c r="C58" s="2328"/>
      <c r="D58" s="1043"/>
      <c r="K58" s="1852"/>
      <c r="L58" s="2328"/>
      <c r="M58" s="2328"/>
      <c r="N58" s="1852"/>
      <c r="O58" s="1852"/>
      <c r="P58" s="1852"/>
      <c r="Q58" s="1852"/>
      <c r="R58" s="2328"/>
      <c r="S58" s="1852"/>
      <c r="T58" s="1852"/>
      <c r="U58" s="1236"/>
      <c r="V58" s="1852"/>
      <c r="W58" s="1852"/>
      <c r="X58" s="1852"/>
      <c r="Y58" s="1852"/>
      <c r="Z58" s="1852"/>
      <c r="AA58" s="2324"/>
      <c r="AB58" s="1258"/>
      <c r="AC58" s="1258"/>
      <c r="AD58" s="1258"/>
      <c r="AE58" s="1258"/>
      <c r="AF58" s="2333">
        <v>11</v>
      </c>
    </row>
    <row s="61193" customFormat="1" customHeight="1" ht="11.549999999999999">
      <c r="A59" s="1679"/>
      <c r="B59" s="2328"/>
      <c r="C59" s="2328"/>
      <c r="D59" s="1043"/>
      <c r="K59" s="1852"/>
      <c r="L59" s="2328"/>
      <c r="M59" s="2328"/>
      <c r="N59" s="1852"/>
      <c r="O59" s="1852"/>
      <c r="P59" s="1852"/>
      <c r="Q59" s="1852"/>
      <c r="R59" s="2328"/>
      <c r="S59" s="1852"/>
      <c r="T59" s="1852"/>
      <c r="U59" s="1236"/>
      <c r="V59" s="1852"/>
      <c r="W59" s="1852"/>
      <c r="X59" s="1852"/>
      <c r="Y59" s="1852"/>
      <c r="Z59" s="1852"/>
      <c r="AA59" s="2324"/>
      <c r="AB59" s="1258"/>
      <c r="AC59" s="1258"/>
      <c r="AD59" s="1258"/>
      <c r="AE59" s="1258"/>
      <c r="AF59" s="2333">
        <v>11</v>
      </c>
    </row>
    <row s="61193" customFormat="1" customHeight="1" ht="11.549999999999999">
      <c r="A60" s="1679"/>
      <c r="B60" s="2328"/>
      <c r="C60" s="2328"/>
      <c r="D60" s="1043"/>
      <c r="K60" s="1852"/>
      <c r="L60" s="2328"/>
      <c r="M60" s="2328"/>
      <c r="N60" s="1852"/>
      <c r="O60" s="1852"/>
      <c r="P60" s="1852"/>
      <c r="Q60" s="1852"/>
      <c r="R60" s="2328"/>
      <c r="S60" s="1852"/>
      <c r="T60" s="1852"/>
      <c r="U60" s="1236"/>
      <c r="V60" s="1852"/>
      <c r="W60" s="1852"/>
      <c r="X60" s="1852"/>
      <c r="Y60" s="1852"/>
      <c r="Z60" s="1852"/>
      <c r="AA60" s="2324"/>
      <c r="AB60" s="1258"/>
      <c r="AC60" s="1258"/>
      <c r="AD60" s="1258"/>
      <c r="AE60" s="1258"/>
      <c r="AF60" s="2333">
        <v>11</v>
      </c>
    </row>
    <row s="61193" customFormat="1" customHeight="1" ht="11.549999999999999">
      <c r="A61" s="1679"/>
      <c r="B61" s="2328"/>
      <c r="C61" s="2328"/>
      <c r="D61" s="1043"/>
      <c r="K61" s="1852"/>
      <c r="L61" s="2328"/>
      <c r="M61" s="2328"/>
      <c r="N61" s="1852"/>
      <c r="O61" s="1852"/>
      <c r="P61" s="1852"/>
      <c r="Q61" s="1852"/>
      <c r="R61" s="2328"/>
      <c r="S61" s="1852"/>
      <c r="T61" s="1852"/>
      <c r="U61" s="1236"/>
      <c r="V61" s="1852"/>
      <c r="W61" s="1852"/>
      <c r="X61" s="1852"/>
      <c r="Y61" s="1852"/>
      <c r="Z61" s="1852"/>
      <c r="AA61" s="2324"/>
      <c r="AB61" s="1258"/>
      <c r="AC61" s="1258"/>
      <c r="AD61" s="1258"/>
      <c r="AE61" s="1258"/>
      <c r="AF61" s="2333">
        <v>11</v>
      </c>
    </row>
    <row s="61193" customFormat="1" customHeight="1" ht="11.549999999999999">
      <c r="A62" s="1679"/>
      <c r="B62" s="2328"/>
      <c r="C62" s="2328"/>
      <c r="D62" s="1043"/>
      <c r="K62" s="1852"/>
      <c r="L62" s="2328"/>
      <c r="M62" s="2328"/>
      <c r="N62" s="1852"/>
      <c r="O62" s="1852"/>
      <c r="P62" s="1852"/>
      <c r="Q62" s="1852"/>
      <c r="R62" s="2328"/>
      <c r="S62" s="1852"/>
      <c r="T62" s="1852"/>
      <c r="U62" s="1236"/>
      <c r="V62" s="1852"/>
      <c r="W62" s="1852"/>
      <c r="X62" s="1852"/>
      <c r="Y62" s="1852"/>
      <c r="Z62" s="1852"/>
      <c r="AA62" s="2324"/>
      <c r="AB62" s="1258"/>
      <c r="AC62" s="1258"/>
      <c r="AD62" s="1258"/>
      <c r="AE62" s="1258"/>
      <c r="AF62" s="2333">
        <v>11</v>
      </c>
    </row>
    <row s="61193" customFormat="1" customHeight="1" ht="11.549999999999999">
      <c r="A63" s="1679"/>
      <c r="B63" s="2328"/>
      <c r="C63" s="2328"/>
      <c r="D63" s="1043"/>
      <c r="K63" s="1852"/>
      <c r="L63" s="2328"/>
      <c r="M63" s="2328"/>
      <c r="N63" s="1852"/>
      <c r="O63" s="1852"/>
      <c r="P63" s="1852"/>
      <c r="Q63" s="1852"/>
      <c r="R63" s="2328"/>
      <c r="S63" s="1852"/>
      <c r="T63" s="1852"/>
      <c r="U63" s="1236"/>
      <c r="V63" s="1852"/>
      <c r="W63" s="1852"/>
      <c r="X63" s="1852"/>
      <c r="Y63" s="1852"/>
      <c r="Z63" s="1852"/>
      <c r="AA63" s="2324"/>
      <c r="AB63" s="1258"/>
      <c r="AC63" s="1258"/>
      <c r="AD63" s="1258"/>
      <c r="AE63" s="1258"/>
      <c r="AF63" s="2333">
        <v>11</v>
      </c>
    </row>
    <row s="61193" customFormat="1" customHeight="1" ht="11.549999999999999">
      <c r="A64" s="1679"/>
      <c r="B64" s="2328"/>
      <c r="C64" s="2328"/>
      <c r="D64" s="1043"/>
      <c r="K64" s="1852"/>
      <c r="L64" s="2328"/>
      <c r="M64" s="2328"/>
      <c r="N64" s="1852"/>
      <c r="O64" s="1852"/>
      <c r="P64" s="1852"/>
      <c r="Q64" s="1852"/>
      <c r="R64" s="2328"/>
      <c r="S64" s="1852"/>
      <c r="T64" s="1852"/>
      <c r="U64" s="1236"/>
      <c r="V64" s="1852"/>
      <c r="W64" s="1852"/>
      <c r="X64" s="1852"/>
      <c r="Y64" s="1852"/>
      <c r="Z64" s="1852"/>
      <c r="AA64" s="2324"/>
      <c r="AB64" s="1258"/>
      <c r="AC64" s="1258"/>
      <c r="AD64" s="1258"/>
      <c r="AE64" s="1258"/>
      <c r="AF64" s="2333">
        <v>11</v>
      </c>
    </row>
    <row s="61193" customFormat="1" customHeight="1" ht="11.549999999999999">
      <c r="A65" s="1679"/>
      <c r="B65" s="2328"/>
      <c r="C65" s="2328"/>
      <c r="D65" s="1043"/>
      <c r="K65" s="1852"/>
      <c r="L65" s="2328"/>
      <c r="M65" s="2328"/>
      <c r="N65" s="1852"/>
      <c r="O65" s="1852"/>
      <c r="P65" s="1852"/>
      <c r="Q65" s="1852"/>
      <c r="R65" s="2328"/>
      <c r="S65" s="1852"/>
      <c r="T65" s="1852"/>
      <c r="U65" s="1236"/>
      <c r="V65" s="1852"/>
      <c r="W65" s="1852"/>
      <c r="X65" s="1852"/>
      <c r="Y65" s="1852"/>
      <c r="Z65" s="1852"/>
      <c r="AA65" s="2324"/>
      <c r="AB65" s="1258"/>
      <c r="AC65" s="1258"/>
      <c r="AD65" s="1258"/>
      <c r="AE65" s="1258"/>
      <c r="AF65" s="2333">
        <v>11</v>
      </c>
    </row>
    <row s="61193" customFormat="1" customHeight="1" ht="11.549999999999999">
      <c r="A66" s="1679"/>
      <c r="B66" s="2328"/>
      <c r="C66" s="2328"/>
      <c r="D66" s="1043"/>
      <c r="K66" s="1852"/>
      <c r="L66" s="2328"/>
      <c r="M66" s="2328"/>
      <c r="N66" s="1852"/>
      <c r="O66" s="1852"/>
      <c r="P66" s="1852"/>
      <c r="Q66" s="1852"/>
      <c r="R66" s="2328"/>
      <c r="S66" s="1852"/>
      <c r="T66" s="1852"/>
      <c r="U66" s="1236"/>
      <c r="V66" s="1852"/>
      <c r="W66" s="1852"/>
      <c r="X66" s="1852"/>
      <c r="Y66" s="1852"/>
      <c r="Z66" s="1852"/>
      <c r="AA66" s="2324"/>
      <c r="AB66" s="1258"/>
      <c r="AC66" s="1258"/>
      <c r="AD66" s="1258"/>
      <c r="AE66" s="1258"/>
      <c r="AF66" s="2333">
        <v>11</v>
      </c>
    </row>
    <row s="61193" customFormat="1" customHeight="1" ht="11.549999999999999">
      <c r="A67" s="1679"/>
      <c r="B67" s="2328"/>
      <c r="C67" s="2328"/>
      <c r="D67" s="1043"/>
      <c r="K67" s="1852"/>
      <c r="L67" s="2328"/>
      <c r="M67" s="2328"/>
      <c r="N67" s="1852"/>
      <c r="O67" s="1852"/>
      <c r="P67" s="1852"/>
      <c r="Q67" s="1852"/>
      <c r="R67" s="2328"/>
      <c r="S67" s="1852"/>
      <c r="T67" s="1852"/>
      <c r="U67" s="1236"/>
      <c r="V67" s="1852"/>
      <c r="W67" s="1852"/>
      <c r="X67" s="1852"/>
      <c r="Y67" s="1852"/>
      <c r="Z67" s="1852"/>
      <c r="AA67" s="2324"/>
      <c r="AB67" s="1258"/>
      <c r="AC67" s="1258"/>
      <c r="AD67" s="1258"/>
      <c r="AE67" s="1258"/>
      <c r="AF67" s="2333">
        <v>11</v>
      </c>
    </row>
    <row s="61193" customFormat="1" customHeight="1" ht="11.549999999999999">
      <c r="A68" s="1679"/>
      <c r="B68" s="2328"/>
      <c r="C68" s="2328"/>
      <c r="D68" s="1043"/>
      <c r="K68" s="1852"/>
      <c r="L68" s="2328"/>
      <c r="M68" s="2328"/>
      <c r="N68" s="1852"/>
      <c r="O68" s="1852"/>
      <c r="P68" s="1852"/>
      <c r="Q68" s="1852"/>
      <c r="R68" s="2328"/>
      <c r="S68" s="1852"/>
      <c r="T68" s="1852"/>
      <c r="U68" s="1236"/>
      <c r="V68" s="1852"/>
      <c r="W68" s="1852"/>
      <c r="X68" s="1852"/>
      <c r="Y68" s="1852"/>
      <c r="Z68" s="1852"/>
      <c r="AA68" s="2324"/>
      <c r="AB68" s="1258"/>
      <c r="AC68" s="1258"/>
      <c r="AD68" s="1258"/>
      <c r="AE68" s="1258"/>
      <c r="AF68" s="2333">
        <v>11</v>
      </c>
    </row>
    <row s="61193" customFormat="1" customHeight="1" ht="11.549999999999999">
      <c r="A69" s="1679"/>
      <c r="B69" s="2328"/>
      <c r="C69" s="2328"/>
      <c r="D69" s="1043"/>
      <c r="K69" s="1852"/>
      <c r="L69" s="2328"/>
      <c r="M69" s="2328"/>
      <c r="N69" s="1852"/>
      <c r="O69" s="1852"/>
      <c r="P69" s="1852"/>
      <c r="Q69" s="1852"/>
      <c r="R69" s="2328"/>
      <c r="S69" s="1852"/>
      <c r="T69" s="1852"/>
      <c r="U69" s="1236"/>
      <c r="V69" s="1852"/>
      <c r="W69" s="1852"/>
      <c r="X69" s="1852"/>
      <c r="Y69" s="1852"/>
      <c r="Z69" s="1852"/>
      <c r="AA69" s="2324"/>
      <c r="AB69" s="1258"/>
      <c r="AC69" s="1258"/>
      <c r="AD69" s="1258"/>
      <c r="AE69" s="1258"/>
      <c r="AF69" s="2333">
        <v>11</v>
      </c>
    </row>
    <row s="61193" customFormat="1" customHeight="1" ht="11.549999999999999">
      <c r="A70" s="1679"/>
      <c r="B70" s="2328"/>
      <c r="C70" s="2328"/>
      <c r="D70" s="1043"/>
      <c r="K70" s="1852"/>
      <c r="L70" s="2328"/>
      <c r="M70" s="2328"/>
      <c r="N70" s="1852"/>
      <c r="O70" s="1852"/>
      <c r="P70" s="1852"/>
      <c r="Q70" s="1852"/>
      <c r="R70" s="2328"/>
      <c r="S70" s="1852"/>
      <c r="T70" s="1852"/>
      <c r="U70" s="1236"/>
      <c r="V70" s="1852"/>
      <c r="W70" s="1852"/>
      <c r="X70" s="1852"/>
      <c r="Y70" s="1852"/>
      <c r="Z70" s="1852"/>
      <c r="AA70" s="2324"/>
      <c r="AB70" s="1258"/>
      <c r="AC70" s="1258"/>
      <c r="AD70" s="1258"/>
      <c r="AE70" s="1258"/>
      <c r="AF70" s="2333">
        <v>11</v>
      </c>
    </row>
    <row s="61193" customFormat="1" customHeight="1" ht="11.549999999999999">
      <c r="A71" s="1679"/>
      <c r="B71" s="2328"/>
      <c r="C71" s="2328"/>
      <c r="D71" s="1043"/>
      <c r="K71" s="1852"/>
      <c r="L71" s="2328"/>
      <c r="M71" s="2328"/>
      <c r="N71" s="1852"/>
      <c r="O71" s="1852"/>
      <c r="P71" s="1852"/>
      <c r="Q71" s="1852"/>
      <c r="R71" s="2328"/>
      <c r="S71" s="1852"/>
      <c r="T71" s="1852"/>
      <c r="U71" s="1236"/>
      <c r="V71" s="1852"/>
      <c r="W71" s="1852"/>
      <c r="X71" s="1852"/>
      <c r="Y71" s="1852"/>
      <c r="Z71" s="1852"/>
      <c r="AA71" s="2324"/>
      <c r="AB71" s="1258"/>
      <c r="AC71" s="1258"/>
      <c r="AD71" s="1258"/>
      <c r="AE71" s="1258"/>
      <c r="AF71" s="2333">
        <v>11</v>
      </c>
    </row>
    <row s="61193" customFormat="1" customHeight="1" ht="11.549999999999999">
      <c r="A72" s="1679"/>
      <c r="B72" s="2328"/>
      <c r="C72" s="2328"/>
      <c r="D72" s="1043"/>
      <c r="K72" s="1852"/>
      <c r="L72" s="2328"/>
      <c r="M72" s="2328"/>
      <c r="N72" s="1852"/>
      <c r="O72" s="1852"/>
      <c r="P72" s="1852"/>
      <c r="Q72" s="1852"/>
      <c r="R72" s="2328"/>
      <c r="S72" s="1852"/>
      <c r="T72" s="1852"/>
      <c r="U72" s="1236"/>
      <c r="V72" s="1852"/>
      <c r="W72" s="1852"/>
      <c r="X72" s="1852"/>
      <c r="Y72" s="1852"/>
      <c r="Z72" s="1852"/>
      <c r="AA72" s="2324"/>
      <c r="AB72" s="1258"/>
      <c r="AC72" s="1258"/>
      <c r="AD72" s="1258"/>
      <c r="AE72" s="1258"/>
      <c r="AF72" s="2333">
        <v>11</v>
      </c>
    </row>
    <row s="61193" customFormat="1" customHeight="1" ht="11.549999999999999">
      <c r="A73" s="1679"/>
      <c r="B73" s="2328"/>
      <c r="C73" s="2328"/>
      <c r="D73" s="1043"/>
      <c r="K73" s="1852"/>
      <c r="L73" s="2328"/>
      <c r="M73" s="2328"/>
      <c r="N73" s="1852"/>
      <c r="O73" s="1852"/>
      <c r="P73" s="1852"/>
      <c r="Q73" s="1852"/>
      <c r="R73" s="2328"/>
      <c r="S73" s="1852"/>
      <c r="T73" s="1852"/>
      <c r="U73" s="1236"/>
      <c r="V73" s="1852"/>
      <c r="W73" s="1852"/>
      <c r="X73" s="1852"/>
      <c r="Y73" s="1852"/>
      <c r="Z73" s="1852"/>
      <c r="AA73" s="2324"/>
      <c r="AB73" s="1258"/>
      <c r="AC73" s="1258"/>
      <c r="AD73" s="1258"/>
      <c r="AE73" s="1258"/>
      <c r="AF73" s="2333">
        <v>11</v>
      </c>
    </row>
    <row s="61193" customFormat="1" customHeight="1" ht="11.549999999999999">
      <c r="A74" s="1679"/>
      <c r="B74" s="2328"/>
      <c r="C74" s="2328"/>
      <c r="D74" s="1043"/>
      <c r="K74" s="1852"/>
      <c r="L74" s="2328"/>
      <c r="M74" s="2328"/>
      <c r="N74" s="1852"/>
      <c r="O74" s="1852"/>
      <c r="P74" s="1852"/>
      <c r="Q74" s="1852"/>
      <c r="R74" s="2328"/>
      <c r="S74" s="1852"/>
      <c r="T74" s="1852"/>
      <c r="U74" s="1236"/>
      <c r="V74" s="1852"/>
      <c r="W74" s="1852"/>
      <c r="X74" s="1852"/>
      <c r="Y74" s="1852"/>
      <c r="Z74" s="1852"/>
      <c r="AA74" s="2324"/>
      <c r="AB74" s="1258"/>
      <c r="AC74" s="1258"/>
      <c r="AD74" s="1258"/>
      <c r="AE74" s="1258"/>
      <c r="AF74" s="2333">
        <v>11</v>
      </c>
    </row>
    <row s="61193" customFormat="1" customHeight="1" ht="11.549999999999999">
      <c r="A75" s="1679"/>
      <c r="B75" s="2328"/>
      <c r="C75" s="2328"/>
      <c r="D75" s="1043"/>
      <c r="K75" s="1852"/>
      <c r="L75" s="2328"/>
      <c r="M75" s="2328"/>
      <c r="N75" s="1852"/>
      <c r="O75" s="1852"/>
      <c r="P75" s="1852"/>
      <c r="Q75" s="1852"/>
      <c r="R75" s="2328"/>
      <c r="S75" s="1852"/>
      <c r="T75" s="1852"/>
      <c r="U75" s="1236"/>
      <c r="V75" s="1852"/>
      <c r="W75" s="1852"/>
      <c r="X75" s="1852"/>
      <c r="Y75" s="1852"/>
      <c r="Z75" s="1852"/>
      <c r="AA75" s="2324"/>
      <c r="AB75" s="1258"/>
      <c r="AC75" s="1258"/>
      <c r="AD75" s="1258"/>
      <c r="AE75" s="1258"/>
      <c r="AF75" s="2333">
        <v>11</v>
      </c>
    </row>
    <row s="61193" customFormat="1" customHeight="1" ht="11.549999999999999">
      <c r="A76" s="1679"/>
      <c r="B76" s="2328"/>
      <c r="C76" s="2328"/>
      <c r="D76" s="1043"/>
      <c r="K76" s="1852"/>
      <c r="L76" s="2328"/>
      <c r="M76" s="2328"/>
      <c r="N76" s="1852"/>
      <c r="O76" s="1852"/>
      <c r="P76" s="1852"/>
      <c r="Q76" s="1852"/>
      <c r="R76" s="2328"/>
      <c r="S76" s="1852"/>
      <c r="T76" s="1852"/>
      <c r="U76" s="1236"/>
      <c r="V76" s="1852"/>
      <c r="W76" s="1852"/>
      <c r="X76" s="1852"/>
      <c r="Y76" s="1852"/>
      <c r="Z76" s="1852"/>
      <c r="AA76" s="2324"/>
      <c r="AB76" s="1258"/>
      <c r="AC76" s="1258"/>
      <c r="AD76" s="1258"/>
      <c r="AE76" s="1258"/>
      <c r="AF76" s="2333">
        <v>11</v>
      </c>
    </row>
    <row s="61193" customFormat="1" customHeight="1" ht="11.549999999999999">
      <c r="A77" s="1679"/>
      <c r="B77" s="2328"/>
      <c r="C77" s="2328"/>
      <c r="D77" s="1043"/>
      <c r="K77" s="1852"/>
      <c r="L77" s="2328"/>
      <c r="M77" s="2328"/>
      <c r="N77" s="1852"/>
      <c r="O77" s="1852"/>
      <c r="P77" s="1852"/>
      <c r="Q77" s="1852"/>
      <c r="R77" s="2328"/>
      <c r="S77" s="1852"/>
      <c r="T77" s="1852"/>
      <c r="U77" s="1236"/>
      <c r="V77" s="1852"/>
      <c r="W77" s="1852"/>
      <c r="X77" s="1852"/>
      <c r="Y77" s="1852"/>
      <c r="Z77" s="1852"/>
      <c r="AA77" s="2324"/>
      <c r="AB77" s="1258"/>
      <c r="AC77" s="1258"/>
      <c r="AD77" s="1258"/>
      <c r="AE77" s="1258"/>
      <c r="AF77" s="2333">
        <v>11</v>
      </c>
    </row>
    <row s="61193" customFormat="1" customHeight="1" ht="11.549999999999999">
      <c r="A78" s="1679"/>
      <c r="B78" s="2328"/>
      <c r="C78" s="2328"/>
      <c r="D78" s="1043"/>
      <c r="K78" s="1852"/>
      <c r="L78" s="2328"/>
      <c r="M78" s="2328"/>
      <c r="N78" s="1852"/>
      <c r="O78" s="1852"/>
      <c r="P78" s="1852"/>
      <c r="Q78" s="1852"/>
      <c r="R78" s="2328"/>
      <c r="S78" s="1852"/>
      <c r="T78" s="1852"/>
      <c r="U78" s="1236"/>
      <c r="V78" s="1852"/>
      <c r="W78" s="1852"/>
      <c r="X78" s="1852"/>
      <c r="Y78" s="1852"/>
      <c r="Z78" s="1852"/>
      <c r="AA78" s="2324"/>
      <c r="AB78" s="1258"/>
      <c r="AC78" s="1258"/>
      <c r="AD78" s="1258"/>
      <c r="AE78" s="1258"/>
      <c r="AF78" s="2333">
        <v>11</v>
      </c>
    </row>
    <row s="61193" customFormat="1" customHeight="1" ht="11.549999999999999">
      <c r="A79" s="1679"/>
      <c r="B79" s="2328"/>
      <c r="C79" s="2328"/>
      <c r="D79" s="1043"/>
      <c r="K79" s="1852"/>
      <c r="L79" s="2328"/>
      <c r="M79" s="2328"/>
      <c r="N79" s="1852"/>
      <c r="O79" s="1852"/>
      <c r="P79" s="1852"/>
      <c r="Q79" s="1852"/>
      <c r="R79" s="2328"/>
      <c r="S79" s="1852"/>
      <c r="T79" s="1852"/>
      <c r="U79" s="1236"/>
      <c r="V79" s="1852"/>
      <c r="W79" s="1852"/>
      <c r="X79" s="1852"/>
      <c r="Y79" s="1852"/>
      <c r="Z79" s="1852"/>
      <c r="AA79" s="2324"/>
      <c r="AB79" s="1258"/>
      <c r="AC79" s="1258"/>
      <c r="AD79" s="1258"/>
      <c r="AE79" s="1258"/>
      <c r="AF79" s="2333">
        <v>11</v>
      </c>
    </row>
    <row s="61193" customFormat="1" customHeight="1" ht="11.549999999999999">
      <c r="A80" s="1679"/>
      <c r="B80" s="2328"/>
      <c r="C80" s="2328"/>
      <c r="D80" s="1043"/>
      <c r="K80" s="1852"/>
      <c r="L80" s="2328"/>
      <c r="M80" s="2328"/>
      <c r="N80" s="1852"/>
      <c r="O80" s="1852"/>
      <c r="P80" s="1852"/>
      <c r="Q80" s="1852"/>
      <c r="R80" s="2328"/>
      <c r="S80" s="1852"/>
      <c r="T80" s="1852"/>
      <c r="U80" s="1236"/>
      <c r="V80" s="1852"/>
      <c r="W80" s="1852"/>
      <c r="X80" s="1852"/>
      <c r="Y80" s="1852"/>
      <c r="Z80" s="1852"/>
      <c r="AA80" s="2324"/>
      <c r="AB80" s="1258"/>
      <c r="AC80" s="1258"/>
      <c r="AD80" s="1258"/>
      <c r="AE80" s="1258"/>
      <c r="AF80" s="2333">
        <v>11</v>
      </c>
    </row>
    <row s="61193" customFormat="1" customHeight="1" ht="11.549999999999999">
      <c r="A81" s="1679"/>
      <c r="B81" s="2328"/>
      <c r="C81" s="2328"/>
      <c r="D81" s="1043"/>
      <c r="K81" s="1852"/>
      <c r="L81" s="2328"/>
      <c r="M81" s="2328"/>
      <c r="N81" s="1852"/>
      <c r="O81" s="1852"/>
      <c r="P81" s="1852"/>
      <c r="Q81" s="1852"/>
      <c r="R81" s="2328"/>
      <c r="S81" s="1852"/>
      <c r="T81" s="1852"/>
      <c r="U81" s="1236"/>
      <c r="V81" s="1852"/>
      <c r="W81" s="1852"/>
      <c r="X81" s="1852"/>
      <c r="Y81" s="1852"/>
      <c r="Z81" s="1852"/>
      <c r="AA81" s="2324"/>
      <c r="AB81" s="1258"/>
      <c r="AC81" s="1258"/>
      <c r="AD81" s="1258"/>
      <c r="AE81" s="1258"/>
      <c r="AF81" s="2333">
        <v>11</v>
      </c>
    </row>
    <row s="61193" customFormat="1" customHeight="1" ht="11.549999999999999">
      <c r="A82" s="1679"/>
      <c r="B82" s="2328"/>
      <c r="C82" s="2328"/>
      <c r="D82" s="1043"/>
      <c r="K82" s="1852"/>
      <c r="L82" s="2328"/>
      <c r="M82" s="2328"/>
      <c r="N82" s="1852"/>
      <c r="O82" s="1852"/>
      <c r="P82" s="1852"/>
      <c r="Q82" s="1852"/>
      <c r="R82" s="2328"/>
      <c r="S82" s="1852"/>
      <c r="T82" s="1852"/>
      <c r="U82" s="1236"/>
      <c r="V82" s="1852"/>
      <c r="W82" s="1852"/>
      <c r="X82" s="1852"/>
      <c r="Y82" s="1852"/>
      <c r="Z82" s="1852"/>
      <c r="AA82" s="2324"/>
      <c r="AB82" s="1258"/>
      <c r="AC82" s="1258"/>
      <c r="AD82" s="1258"/>
      <c r="AE82" s="1258"/>
      <c r="AF82" s="2333">
        <v>11</v>
      </c>
    </row>
    <row s="61193" customFormat="1" customHeight="1" ht="11.549999999999999">
      <c r="A83" s="1679"/>
      <c r="B83" s="2328"/>
      <c r="C83" s="2328"/>
      <c r="D83" s="1043"/>
      <c r="K83" s="1852"/>
      <c r="L83" s="2328"/>
      <c r="M83" s="2328"/>
      <c r="N83" s="1852"/>
      <c r="O83" s="1852"/>
      <c r="P83" s="1852"/>
      <c r="Q83" s="1852"/>
      <c r="R83" s="2328"/>
      <c r="S83" s="1852"/>
      <c r="T83" s="1852"/>
      <c r="U83" s="1236"/>
      <c r="V83" s="1852"/>
      <c r="W83" s="1852"/>
      <c r="X83" s="1852"/>
      <c r="Y83" s="1852"/>
      <c r="Z83" s="1852"/>
      <c r="AA83" s="2324"/>
      <c r="AB83" s="1258"/>
      <c r="AC83" s="1258"/>
      <c r="AD83" s="1258"/>
      <c r="AE83" s="1258"/>
      <c r="AF83" s="2333">
        <v>11</v>
      </c>
    </row>
    <row s="61193" customFormat="1" customHeight="1" ht="11.549999999999999">
      <c r="A84" s="1679"/>
      <c r="B84" s="2328"/>
      <c r="C84" s="2328"/>
      <c r="D84" s="1043"/>
      <c r="K84" s="1852"/>
      <c r="L84" s="2328"/>
      <c r="M84" s="2328"/>
      <c r="N84" s="1852"/>
      <c r="O84" s="1852"/>
      <c r="P84" s="1852"/>
      <c r="Q84" s="1852"/>
      <c r="R84" s="2328"/>
      <c r="S84" s="1852"/>
      <c r="T84" s="1852"/>
      <c r="U84" s="1236"/>
      <c r="V84" s="1852"/>
      <c r="W84" s="1852"/>
      <c r="X84" s="1852"/>
      <c r="Y84" s="1852"/>
      <c r="Z84" s="1852"/>
      <c r="AA84" s="2324"/>
      <c r="AB84" s="1258"/>
      <c r="AC84" s="1258"/>
      <c r="AD84" s="1258"/>
      <c r="AE84" s="1258"/>
      <c r="AF84" s="2333">
        <v>11</v>
      </c>
    </row>
    <row s="61193" customFormat="1" customHeight="1" ht="11.549999999999999">
      <c r="A85" s="1679"/>
      <c r="B85" s="2328"/>
      <c r="C85" s="2328"/>
      <c r="D85" s="1043"/>
      <c r="K85" s="1852"/>
      <c r="L85" s="2328"/>
      <c r="M85" s="2328"/>
      <c r="N85" s="1852"/>
      <c r="O85" s="1852"/>
      <c r="P85" s="1852"/>
      <c r="Q85" s="1852"/>
      <c r="R85" s="2328"/>
      <c r="S85" s="1852"/>
      <c r="T85" s="1852"/>
      <c r="U85" s="1236"/>
      <c r="V85" s="1852"/>
      <c r="W85" s="1852"/>
      <c r="X85" s="1852"/>
      <c r="Y85" s="1852"/>
      <c r="Z85" s="1852"/>
      <c r="AA85" s="2324"/>
      <c r="AB85" s="1258"/>
      <c r="AC85" s="1258"/>
      <c r="AD85" s="1258"/>
      <c r="AE85" s="1258"/>
      <c r="AF85" s="2333">
        <v>11</v>
      </c>
    </row>
    <row s="61193" customFormat="1" customHeight="1" ht="11.549999999999999">
      <c r="A86" s="1679"/>
      <c r="B86" s="2328"/>
      <c r="C86" s="2328"/>
      <c r="D86" s="1043"/>
      <c r="K86" s="1852"/>
      <c r="L86" s="2328"/>
      <c r="M86" s="2328"/>
      <c r="N86" s="1852"/>
      <c r="O86" s="1852"/>
      <c r="P86" s="1852"/>
      <c r="Q86" s="1852"/>
      <c r="R86" s="2328"/>
      <c r="S86" s="1852"/>
      <c r="T86" s="1852"/>
      <c r="U86" s="1236"/>
      <c r="V86" s="1852"/>
      <c r="W86" s="1852"/>
      <c r="X86" s="1852"/>
      <c r="Y86" s="1852"/>
      <c r="Z86" s="1852"/>
      <c r="AA86" s="2324"/>
      <c r="AB86" s="1258"/>
      <c r="AC86" s="1258"/>
      <c r="AD86" s="1258"/>
      <c r="AE86" s="1258"/>
      <c r="AF86" s="2333">
        <v>11</v>
      </c>
    </row>
    <row s="61193" customFormat="1" customHeight="1" ht="11.549999999999999">
      <c r="A87" s="1679"/>
      <c r="B87" s="2328"/>
      <c r="C87" s="2328"/>
      <c r="D87" s="1043"/>
      <c r="K87" s="1852"/>
      <c r="L87" s="2328"/>
      <c r="M87" s="2328"/>
      <c r="N87" s="1852"/>
      <c r="O87" s="1852"/>
      <c r="P87" s="1852"/>
      <c r="Q87" s="1852"/>
      <c r="R87" s="2328"/>
      <c r="S87" s="1852"/>
      <c r="T87" s="1852"/>
      <c r="U87" s="1236"/>
      <c r="V87" s="1852"/>
      <c r="W87" s="1852"/>
      <c r="X87" s="1852"/>
      <c r="Y87" s="1852"/>
      <c r="Z87" s="1852"/>
      <c r="AA87" s="2324"/>
      <c r="AB87" s="1258"/>
      <c r="AC87" s="1258"/>
      <c r="AD87" s="1258"/>
      <c r="AE87" s="1258"/>
      <c r="AF87" s="2333">
        <v>11</v>
      </c>
    </row>
    <row s="61193" customFormat="1" customHeight="1" ht="11.549999999999999">
      <c r="A88" s="1679"/>
      <c r="B88" s="2328"/>
      <c r="C88" s="2328"/>
      <c r="D88" s="1043"/>
      <c r="K88" s="1852"/>
      <c r="L88" s="2328"/>
      <c r="M88" s="2328"/>
      <c r="N88" s="1852"/>
      <c r="O88" s="1852"/>
      <c r="P88" s="1852"/>
      <c r="Q88" s="1852"/>
      <c r="R88" s="2328"/>
      <c r="S88" s="1852"/>
      <c r="T88" s="1852"/>
      <c r="U88" s="1236"/>
      <c r="V88" s="1852"/>
      <c r="W88" s="1852"/>
      <c r="X88" s="1852"/>
      <c r="Y88" s="1852"/>
      <c r="Z88" s="1852"/>
      <c r="AA88" s="2324"/>
      <c r="AB88" s="1258"/>
      <c r="AC88" s="1258"/>
      <c r="AD88" s="1258"/>
      <c r="AE88" s="1258"/>
      <c r="AF88" s="2333">
        <v>11</v>
      </c>
    </row>
    <row s="61193" customFormat="1" customHeight="1" ht="11.549999999999999">
      <c r="A89" s="1679"/>
      <c r="B89" s="2328"/>
      <c r="C89" s="2328"/>
      <c r="D89" s="1043"/>
      <c r="K89" s="1852"/>
      <c r="L89" s="2328"/>
      <c r="M89" s="2328"/>
      <c r="N89" s="1852"/>
      <c r="O89" s="1852"/>
      <c r="P89" s="1852"/>
      <c r="Q89" s="1852"/>
      <c r="R89" s="2328"/>
      <c r="S89" s="1852"/>
      <c r="T89" s="1852"/>
      <c r="U89" s="1236"/>
      <c r="V89" s="1852"/>
      <c r="W89" s="1852"/>
      <c r="X89" s="1852"/>
      <c r="Y89" s="1852"/>
      <c r="Z89" s="1852"/>
      <c r="AA89" s="2324"/>
      <c r="AB89" s="1258"/>
      <c r="AC89" s="1258"/>
      <c r="AD89" s="1258"/>
      <c r="AE89" s="1258"/>
      <c r="AF89" s="2333">
        <v>11</v>
      </c>
    </row>
    <row s="61193" customFormat="1" customHeight="1" ht="11.549999999999999">
      <c r="A90" s="1679"/>
      <c r="B90" s="2328"/>
      <c r="C90" s="2328"/>
      <c r="D90" s="1043"/>
      <c r="K90" s="1852"/>
      <c r="L90" s="2328"/>
      <c r="M90" s="2328"/>
      <c r="N90" s="1852"/>
      <c r="O90" s="1852"/>
      <c r="P90" s="1852"/>
      <c r="Q90" s="1852"/>
      <c r="R90" s="2328"/>
      <c r="S90" s="1852"/>
      <c r="T90" s="1852"/>
      <c r="U90" s="1236"/>
      <c r="V90" s="1852"/>
      <c r="W90" s="1852"/>
      <c r="X90" s="1852"/>
      <c r="Y90" s="1852"/>
      <c r="Z90" s="1852"/>
      <c r="AA90" s="2324"/>
      <c r="AB90" s="1258"/>
      <c r="AC90" s="1258"/>
      <c r="AD90" s="1258"/>
      <c r="AE90" s="1258"/>
      <c r="AF90" s="2333">
        <v>11</v>
      </c>
    </row>
    <row s="61193" customFormat="1" customHeight="1" ht="11.549999999999999">
      <c r="A91" s="1679"/>
      <c r="B91" s="2328"/>
      <c r="C91" s="2328"/>
      <c r="D91" s="1043"/>
      <c r="K91" s="1852"/>
      <c r="L91" s="2328"/>
      <c r="M91" s="2328"/>
      <c r="N91" s="1852"/>
      <c r="O91" s="1852"/>
      <c r="P91" s="1852"/>
      <c r="Q91" s="1852"/>
      <c r="R91" s="2328"/>
      <c r="S91" s="1852"/>
      <c r="T91" s="1852"/>
      <c r="U91" s="1236"/>
      <c r="V91" s="1852"/>
      <c r="W91" s="1852"/>
      <c r="X91" s="1852"/>
      <c r="Y91" s="1852"/>
      <c r="Z91" s="1852"/>
      <c r="AA91" s="2324"/>
      <c r="AB91" s="1258"/>
      <c r="AC91" s="1258"/>
      <c r="AD91" s="1258"/>
      <c r="AE91" s="1258"/>
      <c r="AF91" s="2333">
        <v>11</v>
      </c>
    </row>
    <row s="61193" customFormat="1" customHeight="1" ht="11.549999999999999">
      <c r="A92" s="1679"/>
      <c r="B92" s="2328"/>
      <c r="C92" s="2328"/>
      <c r="D92" s="1043"/>
      <c r="K92" s="1852"/>
      <c r="L92" s="2328"/>
      <c r="M92" s="2328"/>
      <c r="N92" s="1852"/>
      <c r="O92" s="1852"/>
      <c r="P92" s="1852"/>
      <c r="Q92" s="1852"/>
      <c r="R92" s="2328"/>
      <c r="S92" s="1852"/>
      <c r="T92" s="1852"/>
      <c r="U92" s="1236"/>
      <c r="V92" s="1852"/>
      <c r="W92" s="1852"/>
      <c r="X92" s="1852"/>
      <c r="Y92" s="1852"/>
      <c r="Z92" s="1852"/>
      <c r="AA92" s="2324"/>
      <c r="AB92" s="1258"/>
      <c r="AC92" s="1258"/>
      <c r="AD92" s="1258"/>
      <c r="AE92" s="1258"/>
      <c r="AF92" s="2333">
        <v>11</v>
      </c>
    </row>
    <row s="61193" customFormat="1" customHeight="1" ht="11.549999999999999">
      <c r="A93" s="1679"/>
      <c r="B93" s="2328"/>
      <c r="C93" s="2328"/>
      <c r="D93" s="1043"/>
      <c r="K93" s="1852"/>
      <c r="L93" s="2328"/>
      <c r="M93" s="2328"/>
      <c r="N93" s="1852"/>
      <c r="O93" s="1852"/>
      <c r="P93" s="1852"/>
      <c r="Q93" s="1852"/>
      <c r="R93" s="2328"/>
      <c r="S93" s="1852"/>
      <c r="T93" s="1852"/>
      <c r="U93" s="1236"/>
      <c r="V93" s="1852"/>
      <c r="W93" s="1852"/>
      <c r="X93" s="1852"/>
      <c r="Y93" s="1852"/>
      <c r="Z93" s="1852"/>
      <c r="AA93" s="2324"/>
      <c r="AB93" s="1258"/>
      <c r="AC93" s="1258"/>
      <c r="AD93" s="1258"/>
      <c r="AE93" s="1258"/>
      <c r="AF93" s="2333">
        <v>11</v>
      </c>
    </row>
    <row s="61193" customFormat="1" customHeight="1" ht="11.549999999999999">
      <c r="A94" s="1679"/>
      <c r="B94" s="2328"/>
      <c r="C94" s="2328"/>
      <c r="D94" s="1043"/>
      <c r="K94" s="1852"/>
      <c r="L94" s="2328"/>
      <c r="M94" s="2328"/>
      <c r="N94" s="1852"/>
      <c r="O94" s="1852"/>
      <c r="P94" s="1852"/>
      <c r="Q94" s="1852"/>
      <c r="R94" s="2328"/>
      <c r="S94" s="1852"/>
      <c r="T94" s="1852"/>
      <c r="U94" s="1236"/>
      <c r="V94" s="1852"/>
      <c r="W94" s="1852"/>
      <c r="X94" s="1852"/>
      <c r="Y94" s="1852"/>
      <c r="Z94" s="1852"/>
      <c r="AA94" s="2324"/>
      <c r="AB94" s="1258"/>
      <c r="AC94" s="1258"/>
      <c r="AD94" s="1258"/>
      <c r="AE94" s="1258"/>
      <c r="AF94" s="2333">
        <v>11</v>
      </c>
    </row>
    <row s="61193" customFormat="1" customHeight="1" ht="11.549999999999999">
      <c r="A95" s="1679"/>
      <c r="B95" s="2328"/>
      <c r="C95" s="2328"/>
      <c r="D95" s="1043"/>
      <c r="K95" s="1852"/>
      <c r="L95" s="2328"/>
      <c r="M95" s="2328"/>
      <c r="N95" s="1852"/>
      <c r="O95" s="1852"/>
      <c r="P95" s="1852"/>
      <c r="Q95" s="1852"/>
      <c r="R95" s="2328"/>
      <c r="S95" s="1852"/>
      <c r="T95" s="1852"/>
      <c r="U95" s="1236"/>
      <c r="V95" s="1852"/>
      <c r="W95" s="1852"/>
      <c r="X95" s="1852"/>
      <c r="Y95" s="1852"/>
      <c r="Z95" s="1852"/>
      <c r="AA95" s="2324"/>
      <c r="AB95" s="1258"/>
      <c r="AC95" s="1258"/>
      <c r="AD95" s="1258"/>
      <c r="AE95" s="1258"/>
      <c r="AF95" s="2333">
        <v>11</v>
      </c>
    </row>
    <row s="61193" customFormat="1" customHeight="1" ht="11.549999999999999">
      <c r="A96" s="1679"/>
      <c r="B96" s="2328"/>
      <c r="C96" s="2328"/>
      <c r="D96" s="1043"/>
      <c r="K96" s="1852"/>
      <c r="L96" s="2328"/>
      <c r="M96" s="2328"/>
      <c r="N96" s="1852"/>
      <c r="O96" s="1852"/>
      <c r="P96" s="1852"/>
      <c r="Q96" s="1852"/>
      <c r="R96" s="2328"/>
      <c r="S96" s="1852"/>
      <c r="T96" s="1852"/>
      <c r="U96" s="1236"/>
      <c r="V96" s="1852"/>
      <c r="W96" s="1852"/>
      <c r="X96" s="1852"/>
      <c r="Y96" s="1852"/>
      <c r="Z96" s="1852"/>
      <c r="AA96" s="2324"/>
      <c r="AB96" s="1258"/>
      <c r="AC96" s="1258"/>
      <c r="AD96" s="1258"/>
      <c r="AE96" s="1258"/>
      <c r="AF96" s="2333">
        <v>11</v>
      </c>
    </row>
    <row s="61193" customFormat="1" customHeight="1" ht="11.549999999999999">
      <c r="A97" s="1679"/>
      <c r="B97" s="2328"/>
      <c r="C97" s="2328"/>
      <c r="D97" s="1043"/>
      <c r="K97" s="1852"/>
      <c r="L97" s="2328"/>
      <c r="M97" s="2328"/>
      <c r="N97" s="1852"/>
      <c r="O97" s="1852"/>
      <c r="P97" s="1852"/>
      <c r="Q97" s="1852"/>
      <c r="R97" s="2328"/>
      <c r="S97" s="1852"/>
      <c r="T97" s="1852"/>
      <c r="U97" s="1236"/>
      <c r="V97" s="1852"/>
      <c r="W97" s="1852"/>
      <c r="X97" s="1852"/>
      <c r="Y97" s="1852"/>
      <c r="Z97" s="1852"/>
      <c r="AA97" s="2324"/>
      <c r="AB97" s="1258"/>
      <c r="AC97" s="1258"/>
      <c r="AD97" s="1258"/>
      <c r="AE97" s="1258"/>
      <c r="AF97" s="2333">
        <v>11</v>
      </c>
    </row>
    <row s="61193" customFormat="1" customHeight="1" ht="11.549999999999999">
      <c r="A98" s="1679"/>
      <c r="B98" s="2328"/>
      <c r="C98" s="2328"/>
      <c r="D98" s="1043"/>
      <c r="K98" s="1852"/>
      <c r="L98" s="2328"/>
      <c r="M98" s="2328"/>
      <c r="N98" s="1852"/>
      <c r="O98" s="1852"/>
      <c r="P98" s="1852"/>
      <c r="Q98" s="1852"/>
      <c r="R98" s="2328"/>
      <c r="S98" s="1852"/>
      <c r="T98" s="1852"/>
      <c r="U98" s="1236"/>
      <c r="V98" s="1852"/>
      <c r="W98" s="1852"/>
      <c r="X98" s="1852"/>
      <c r="Y98" s="1852"/>
      <c r="Z98" s="1852"/>
      <c r="AA98" s="2324"/>
      <c r="AB98" s="1258"/>
      <c r="AC98" s="1258"/>
      <c r="AD98" s="1258"/>
      <c r="AE98" s="1258"/>
      <c r="AF98" s="2333">
        <v>11</v>
      </c>
    </row>
    <row s="61193" customFormat="1" customHeight="1" ht="11.549999999999999">
      <c r="A99" s="1679"/>
      <c r="B99" s="2328"/>
      <c r="C99" s="2328"/>
      <c r="D99" s="1043"/>
      <c r="K99" s="1852"/>
      <c r="L99" s="2328"/>
      <c r="M99" s="2328"/>
      <c r="N99" s="1852"/>
      <c r="O99" s="1852"/>
      <c r="P99" s="1852"/>
      <c r="Q99" s="1852"/>
      <c r="R99" s="2328"/>
      <c r="S99" s="1852"/>
      <c r="T99" s="1852"/>
      <c r="U99" s="1236"/>
      <c r="V99" s="1852"/>
      <c r="W99" s="1852"/>
      <c r="X99" s="1852"/>
      <c r="Y99" s="1852"/>
      <c r="Z99" s="1852"/>
      <c r="AA99" s="2324"/>
      <c r="AB99" s="1258"/>
      <c r="AC99" s="1258"/>
      <c r="AD99" s="1258"/>
      <c r="AE99" s="1258"/>
      <c r="AF99" s="2333">
        <v>11</v>
      </c>
    </row>
    <row s="61193" customFormat="1" customHeight="1" ht="11.549999999999999">
      <c r="A100" s="1679"/>
      <c r="B100" s="2328"/>
      <c r="C100" s="2328"/>
      <c r="D100" s="1043"/>
      <c r="K100" s="1852"/>
      <c r="L100" s="2328"/>
      <c r="M100" s="2328"/>
      <c r="N100" s="1852"/>
      <c r="O100" s="1852"/>
      <c r="P100" s="1852"/>
      <c r="Q100" s="1852"/>
      <c r="R100" s="2328"/>
      <c r="S100" s="1852"/>
      <c r="T100" s="1852"/>
      <c r="U100" s="1236"/>
      <c r="V100" s="1852"/>
      <c r="W100" s="1852"/>
      <c r="X100" s="1852"/>
      <c r="Y100" s="1852"/>
      <c r="Z100" s="1852"/>
      <c r="AA100" s="2324"/>
      <c r="AB100" s="1258"/>
      <c r="AC100" s="1258"/>
      <c r="AD100" s="1258"/>
      <c r="AE100" s="1258"/>
      <c r="AF100" s="2333">
        <v>11</v>
      </c>
    </row>
    <row s="61193" customFormat="1" customHeight="1" ht="11.549999999999999">
      <c r="A101" s="1679"/>
      <c r="B101" s="2328"/>
      <c r="C101" s="2328"/>
      <c r="D101" s="1043"/>
      <c r="K101" s="1852"/>
      <c r="L101" s="2328"/>
      <c r="M101" s="2328"/>
      <c r="N101" s="1852"/>
      <c r="O101" s="1852"/>
      <c r="P101" s="1852"/>
      <c r="Q101" s="1852"/>
      <c r="R101" s="2328"/>
      <c r="S101" s="1852"/>
      <c r="T101" s="1852"/>
      <c r="U101" s="1236"/>
      <c r="V101" s="1852"/>
      <c r="W101" s="1852"/>
      <c r="X101" s="1852"/>
      <c r="Y101" s="1852"/>
      <c r="Z101" s="1852"/>
      <c r="AA101" s="2324"/>
      <c r="AB101" s="1258"/>
      <c r="AC101" s="1258"/>
      <c r="AD101" s="1258"/>
      <c r="AE101" s="1258"/>
      <c r="AF101" s="2333">
        <v>11</v>
      </c>
    </row>
    <row s="61193" customFormat="1" customHeight="1" ht="11.549999999999999">
      <c r="A102" s="1679"/>
      <c r="B102" s="2328"/>
      <c r="C102" s="2328"/>
      <c r="D102" s="1043"/>
      <c r="K102" s="1852"/>
      <c r="L102" s="2328"/>
      <c r="M102" s="2328"/>
      <c r="N102" s="1852"/>
      <c r="O102" s="1852"/>
      <c r="P102" s="1852"/>
      <c r="Q102" s="1852"/>
      <c r="R102" s="2328"/>
      <c r="S102" s="1852"/>
      <c r="T102" s="1852"/>
      <c r="U102" s="1236"/>
      <c r="V102" s="1852"/>
      <c r="W102" s="1852"/>
      <c r="X102" s="1852"/>
      <c r="Y102" s="1852"/>
      <c r="Z102" s="1852"/>
      <c r="AA102" s="2324"/>
      <c r="AB102" s="1258"/>
      <c r="AC102" s="1258"/>
      <c r="AD102" s="1258"/>
      <c r="AE102" s="1258"/>
      <c r="AF102" s="2333">
        <v>11</v>
      </c>
    </row>
    <row s="61193" customFormat="1" customHeight="1" ht="11.549999999999999">
      <c r="A103" s="1679"/>
      <c r="B103" s="2328"/>
      <c r="C103" s="2328"/>
      <c r="D103" s="1043"/>
      <c r="K103" s="1852"/>
      <c r="L103" s="2328"/>
      <c r="M103" s="2328"/>
      <c r="N103" s="1852"/>
      <c r="O103" s="1852"/>
      <c r="P103" s="1852"/>
      <c r="Q103" s="1852"/>
      <c r="R103" s="2328"/>
      <c r="S103" s="1852"/>
      <c r="T103" s="1852"/>
      <c r="U103" s="1236"/>
      <c r="V103" s="1852"/>
      <c r="W103" s="1852"/>
      <c r="X103" s="1852"/>
      <c r="Y103" s="1852"/>
      <c r="Z103" s="1852"/>
      <c r="AA103" s="2324"/>
      <c r="AB103" s="1258"/>
      <c r="AC103" s="1258"/>
      <c r="AD103" s="1258"/>
      <c r="AE103" s="1258"/>
      <c r="AF103" s="2333">
        <v>11</v>
      </c>
    </row>
    <row s="61193" customFormat="1" customHeight="1" ht="11.549999999999999">
      <c r="A104" s="1679"/>
      <c r="B104" s="2328"/>
      <c r="C104" s="2328"/>
      <c r="D104" s="1043"/>
      <c r="K104" s="1852"/>
      <c r="L104" s="2328"/>
      <c r="M104" s="2328"/>
      <c r="N104" s="1852"/>
      <c r="O104" s="1852"/>
      <c r="P104" s="1852"/>
      <c r="Q104" s="1852"/>
      <c r="R104" s="2328"/>
      <c r="S104" s="1852"/>
      <c r="T104" s="1852"/>
      <c r="U104" s="1236"/>
      <c r="V104" s="1852"/>
      <c r="W104" s="1852"/>
      <c r="X104" s="1852"/>
      <c r="Y104" s="1852"/>
      <c r="Z104" s="1852"/>
      <c r="AA104" s="2324"/>
      <c r="AB104" s="1258"/>
      <c r="AC104" s="1258"/>
      <c r="AD104" s="1258"/>
      <c r="AE104" s="1258"/>
      <c r="AF104" s="2333">
        <v>11</v>
      </c>
    </row>
    <row s="61193" customFormat="1" customHeight="1" ht="11.549999999999999">
      <c r="A105" s="1679"/>
      <c r="B105" s="2328"/>
      <c r="C105" s="2328"/>
      <c r="D105" s="1043"/>
      <c r="K105" s="1852"/>
      <c r="L105" s="2328"/>
      <c r="M105" s="2328"/>
      <c r="N105" s="1852"/>
      <c r="O105" s="1852"/>
      <c r="P105" s="1852"/>
      <c r="Q105" s="1852"/>
      <c r="R105" s="2328"/>
      <c r="S105" s="1852"/>
      <c r="T105" s="1852"/>
      <c r="U105" s="1236"/>
      <c r="V105" s="1852"/>
      <c r="W105" s="1852"/>
      <c r="X105" s="1852"/>
      <c r="Y105" s="1852"/>
      <c r="Z105" s="1852"/>
      <c r="AA105" s="2324"/>
      <c r="AB105" s="1258"/>
      <c r="AC105" s="1258"/>
      <c r="AD105" s="1258"/>
      <c r="AE105" s="1258"/>
      <c r="AF105" s="2333">
        <v>11</v>
      </c>
    </row>
    <row s="61193" customFormat="1" customHeight="1" ht="11.549999999999999">
      <c r="A106" s="1679"/>
      <c r="B106" s="2328"/>
      <c r="C106" s="2328"/>
      <c r="D106" s="1043"/>
      <c r="K106" s="1852"/>
      <c r="L106" s="2328"/>
      <c r="M106" s="2328"/>
      <c r="N106" s="1852"/>
      <c r="O106" s="1852"/>
      <c r="P106" s="1852"/>
      <c r="Q106" s="1852"/>
      <c r="R106" s="2328"/>
      <c r="S106" s="1852"/>
      <c r="T106" s="1852"/>
      <c r="U106" s="1236"/>
      <c r="V106" s="1852"/>
      <c r="W106" s="1852"/>
      <c r="X106" s="1852"/>
      <c r="Y106" s="1852"/>
      <c r="Z106" s="1852"/>
      <c r="AA106" s="2324"/>
      <c r="AB106" s="1258"/>
      <c r="AC106" s="1258"/>
      <c r="AD106" s="1258"/>
      <c r="AE106" s="1258"/>
      <c r="AF106" s="2333">
        <v>11</v>
      </c>
    </row>
    <row s="61193" customFormat="1" customHeight="1" ht="11.549999999999999">
      <c r="A107" s="1679"/>
      <c r="B107" s="2328"/>
      <c r="C107" s="2328"/>
      <c r="D107" s="1043"/>
      <c r="K107" s="1852"/>
      <c r="L107" s="2328"/>
      <c r="M107" s="2328"/>
      <c r="N107" s="1852"/>
      <c r="O107" s="1852"/>
      <c r="P107" s="1852"/>
      <c r="Q107" s="1852"/>
      <c r="R107" s="2328"/>
      <c r="S107" s="1852"/>
      <c r="T107" s="1852"/>
      <c r="U107" s="1236"/>
      <c r="V107" s="1852"/>
      <c r="W107" s="1852"/>
      <c r="X107" s="1852"/>
      <c r="Y107" s="1852"/>
      <c r="Z107" s="1852"/>
      <c r="AA107" s="2324"/>
      <c r="AB107" s="1258"/>
      <c r="AC107" s="1258"/>
      <c r="AD107" s="1258"/>
      <c r="AE107" s="1258"/>
      <c r="AF107" s="2333">
        <v>11</v>
      </c>
    </row>
    <row s="61193" customFormat="1" customHeight="1" ht="11.549999999999999">
      <c r="A108" s="1679"/>
      <c r="B108" s="2328"/>
      <c r="C108" s="2328"/>
      <c r="D108" s="1043"/>
      <c r="K108" s="1852"/>
      <c r="L108" s="2328"/>
      <c r="M108" s="2328"/>
      <c r="N108" s="1852"/>
      <c r="O108" s="1852"/>
      <c r="P108" s="1852"/>
      <c r="Q108" s="1852"/>
      <c r="R108" s="2328"/>
      <c r="S108" s="1852"/>
      <c r="T108" s="1852"/>
      <c r="U108" s="1236"/>
      <c r="V108" s="1852"/>
      <c r="W108" s="1852"/>
      <c r="X108" s="1852"/>
      <c r="Y108" s="1852"/>
      <c r="Z108" s="1852"/>
      <c r="AA108" s="2324"/>
      <c r="AB108" s="1258"/>
      <c r="AC108" s="1258"/>
      <c r="AD108" s="1258"/>
      <c r="AE108" s="1258"/>
      <c r="AF108" s="2333">
        <v>11</v>
      </c>
    </row>
    <row s="61193" customFormat="1" customHeight="1" ht="11.549999999999999">
      <c r="A109" s="1679"/>
      <c r="B109" s="2328"/>
      <c r="C109" s="2328"/>
      <c r="D109" s="1043"/>
      <c r="K109" s="1852"/>
      <c r="L109" s="2328"/>
      <c r="M109" s="2328"/>
      <c r="N109" s="1852"/>
      <c r="O109" s="1852"/>
      <c r="P109" s="1852"/>
      <c r="Q109" s="1852"/>
      <c r="R109" s="2328"/>
      <c r="S109" s="1852"/>
      <c r="T109" s="1852"/>
      <c r="U109" s="1236"/>
      <c r="V109" s="1852"/>
      <c r="W109" s="1852"/>
      <c r="X109" s="1852"/>
      <c r="Y109" s="1852"/>
      <c r="Z109" s="1852"/>
      <c r="AA109" s="2324"/>
      <c r="AB109" s="1258"/>
      <c r="AC109" s="1258"/>
      <c r="AD109" s="1258"/>
      <c r="AE109" s="1258"/>
      <c r="AF109" s="2333">
        <v>11</v>
      </c>
    </row>
    <row s="61193" customFormat="1" customHeight="1" ht="11.549999999999999">
      <c r="A110" s="1679"/>
      <c r="B110" s="2328"/>
      <c r="C110" s="2328"/>
      <c r="D110" s="1043"/>
      <c r="K110" s="1852"/>
      <c r="L110" s="2328"/>
      <c r="M110" s="2328"/>
      <c r="N110" s="1852"/>
      <c r="O110" s="1852"/>
      <c r="P110" s="1852"/>
      <c r="Q110" s="1852"/>
      <c r="R110" s="2328"/>
      <c r="S110" s="1852"/>
      <c r="T110" s="1852"/>
      <c r="U110" s="1236"/>
      <c r="V110" s="1852"/>
      <c r="W110" s="1852"/>
      <c r="X110" s="1852"/>
      <c r="Y110" s="1852"/>
      <c r="Z110" s="1852"/>
      <c r="AA110" s="2324"/>
      <c r="AB110" s="1258"/>
      <c r="AC110" s="1258"/>
      <c r="AD110" s="1258"/>
      <c r="AE110" s="1258"/>
      <c r="AF110" s="2333">
        <v>11</v>
      </c>
    </row>
    <row s="61193" customFormat="1" customHeight="1" ht="11.549999999999999">
      <c r="A111" s="1679"/>
      <c r="B111" s="2328"/>
      <c r="C111" s="2328"/>
      <c r="D111" s="1043"/>
      <c r="K111" s="1852"/>
      <c r="L111" s="2328"/>
      <c r="M111" s="2328"/>
      <c r="N111" s="1852"/>
      <c r="O111" s="1852"/>
      <c r="P111" s="1852"/>
      <c r="Q111" s="1852"/>
      <c r="R111" s="2328"/>
      <c r="S111" s="1852"/>
      <c r="T111" s="1852"/>
      <c r="U111" s="1236"/>
      <c r="V111" s="1852"/>
      <c r="W111" s="1852"/>
      <c r="X111" s="1852"/>
      <c r="Y111" s="1852"/>
      <c r="Z111" s="1852"/>
      <c r="AA111" s="2324"/>
      <c r="AB111" s="1258"/>
      <c r="AC111" s="1258"/>
      <c r="AD111" s="1258"/>
      <c r="AE111" s="1258"/>
      <c r="AF111" s="2333">
        <v>11</v>
      </c>
    </row>
    <row s="61193" customFormat="1" customHeight="1" ht="11.549999999999999">
      <c r="A112" s="1679"/>
      <c r="B112" s="2328"/>
      <c r="C112" s="2328"/>
      <c r="D112" s="1043"/>
      <c r="K112" s="1852"/>
      <c r="L112" s="2328"/>
      <c r="M112" s="2328"/>
      <c r="N112" s="1852"/>
      <c r="O112" s="1852"/>
      <c r="P112" s="1852"/>
      <c r="Q112" s="1852"/>
      <c r="R112" s="2328"/>
      <c r="S112" s="1852"/>
      <c r="T112" s="1852"/>
      <c r="U112" s="1236"/>
      <c r="V112" s="1852"/>
      <c r="W112" s="1852"/>
      <c r="X112" s="1852"/>
      <c r="Y112" s="1852"/>
      <c r="Z112" s="1852"/>
      <c r="AA112" s="2324"/>
      <c r="AB112" s="1258"/>
      <c r="AC112" s="1258"/>
      <c r="AD112" s="1258"/>
      <c r="AE112" s="1258"/>
      <c r="AF112" s="2333">
        <v>11</v>
      </c>
    </row>
    <row s="61193" customFormat="1" customHeight="1" ht="11.549999999999999">
      <c r="A113" s="1679"/>
      <c r="B113" s="2328"/>
      <c r="C113" s="2328"/>
      <c r="D113" s="1043"/>
      <c r="K113" s="1852"/>
      <c r="L113" s="2328"/>
      <c r="M113" s="2328"/>
      <c r="N113" s="1852"/>
      <c r="O113" s="1852"/>
      <c r="P113" s="1852"/>
      <c r="Q113" s="1852"/>
      <c r="R113" s="2328"/>
      <c r="S113" s="1852"/>
      <c r="T113" s="1852"/>
      <c r="U113" s="1236"/>
      <c r="V113" s="1852"/>
      <c r="W113" s="1852"/>
      <c r="X113" s="1852"/>
      <c r="Y113" s="1852"/>
      <c r="Z113" s="1852"/>
      <c r="AA113" s="2324"/>
      <c r="AB113" s="1258"/>
      <c r="AC113" s="1258"/>
      <c r="AD113" s="1258"/>
      <c r="AE113" s="1258"/>
      <c r="AF113" s="2333">
        <v>11</v>
      </c>
    </row>
    <row s="61193" customFormat="1" customHeight="1" ht="11.549999999999999">
      <c r="A114" s="1679"/>
      <c r="B114" s="2328"/>
      <c r="C114" s="2328"/>
      <c r="D114" s="1043"/>
      <c r="K114" s="1852"/>
      <c r="L114" s="2328"/>
      <c r="M114" s="2328"/>
      <c r="N114" s="1852"/>
      <c r="O114" s="1852"/>
      <c r="P114" s="1852"/>
      <c r="Q114" s="1852"/>
      <c r="R114" s="2328"/>
      <c r="S114" s="1852"/>
      <c r="T114" s="1852"/>
      <c r="U114" s="1236"/>
      <c r="V114" s="1852"/>
      <c r="W114" s="1852"/>
      <c r="X114" s="1852"/>
      <c r="Y114" s="1852"/>
      <c r="Z114" s="1852"/>
      <c r="AA114" s="2324"/>
      <c r="AB114" s="1258"/>
      <c r="AC114" s="1258"/>
      <c r="AD114" s="1258"/>
      <c r="AE114" s="1258"/>
      <c r="AF114" s="2333">
        <v>11</v>
      </c>
    </row>
    <row s="61193" customFormat="1" customHeight="1" ht="11.549999999999999">
      <c r="A115" s="1679"/>
      <c r="B115" s="2328"/>
      <c r="C115" s="2328"/>
      <c r="D115" s="1043"/>
      <c r="K115" s="1852"/>
      <c r="L115" s="2328"/>
      <c r="M115" s="2328"/>
      <c r="N115" s="1852"/>
      <c r="O115" s="1852"/>
      <c r="P115" s="1852"/>
      <c r="Q115" s="1852"/>
      <c r="R115" s="2328"/>
      <c r="S115" s="1852"/>
      <c r="T115" s="1852"/>
      <c r="U115" s="1236"/>
      <c r="V115" s="1852"/>
      <c r="W115" s="1852"/>
      <c r="X115" s="1852"/>
      <c r="Y115" s="1852"/>
      <c r="Z115" s="1852"/>
      <c r="AA115" s="2324"/>
      <c r="AB115" s="1258"/>
      <c r="AC115" s="1258"/>
      <c r="AD115" s="1258"/>
      <c r="AE115" s="1258"/>
      <c r="AF115" s="2333">
        <v>11</v>
      </c>
    </row>
    <row s="61193" customFormat="1" customHeight="1" ht="11.549999999999999">
      <c r="A116" s="1679"/>
      <c r="B116" s="2328"/>
      <c r="C116" s="2328"/>
      <c r="D116" s="1043"/>
      <c r="K116" s="1852"/>
      <c r="L116" s="2328"/>
      <c r="M116" s="2328"/>
      <c r="N116" s="1852"/>
      <c r="O116" s="1852"/>
      <c r="P116" s="1852"/>
      <c r="Q116" s="1852"/>
      <c r="R116" s="2328"/>
      <c r="S116" s="1852"/>
      <c r="T116" s="1852"/>
      <c r="U116" s="1236"/>
      <c r="V116" s="1852"/>
      <c r="W116" s="1852"/>
      <c r="X116" s="1852"/>
      <c r="Y116" s="1852"/>
      <c r="Z116" s="1852"/>
      <c r="AA116" s="2324"/>
      <c r="AB116" s="1258"/>
      <c r="AC116" s="1258"/>
      <c r="AD116" s="1258"/>
      <c r="AE116" s="1258"/>
      <c r="AF116" s="2333">
        <v>11</v>
      </c>
    </row>
    <row s="61193" customFormat="1" customHeight="1" ht="11.549999999999999">
      <c r="A117" s="1679"/>
      <c r="B117" s="2328"/>
      <c r="C117" s="2328"/>
      <c r="D117" s="1043"/>
      <c r="K117" s="1852"/>
      <c r="L117" s="2328"/>
      <c r="M117" s="2328"/>
      <c r="N117" s="1852"/>
      <c r="O117" s="1852"/>
      <c r="P117" s="1852"/>
      <c r="Q117" s="1852"/>
      <c r="R117" s="2328"/>
      <c r="S117" s="1852"/>
      <c r="T117" s="1852"/>
      <c r="U117" s="1236"/>
      <c r="V117" s="1852"/>
      <c r="W117" s="1852"/>
      <c r="X117" s="1852"/>
      <c r="Y117" s="1852"/>
      <c r="Z117" s="1852"/>
      <c r="AA117" s="2324"/>
      <c r="AB117" s="1258"/>
      <c r="AC117" s="1258"/>
      <c r="AD117" s="1258"/>
      <c r="AE117" s="1258"/>
      <c r="AF117" s="2333">
        <v>11</v>
      </c>
    </row>
    <row s="61193" customFormat="1" customHeight="1" ht="11.549999999999999">
      <c r="A118" s="1679"/>
      <c r="B118" s="2328"/>
      <c r="C118" s="2328"/>
      <c r="D118" s="1043"/>
      <c r="K118" s="1852"/>
      <c r="L118" s="2328"/>
      <c r="M118" s="2328"/>
      <c r="N118" s="1852"/>
      <c r="O118" s="1852"/>
      <c r="P118" s="1852"/>
      <c r="Q118" s="1852"/>
      <c r="R118" s="2328"/>
      <c r="S118" s="1852"/>
      <c r="T118" s="1852"/>
      <c r="U118" s="1236"/>
      <c r="V118" s="1852"/>
      <c r="W118" s="1852"/>
      <c r="X118" s="1852"/>
      <c r="Y118" s="1852"/>
      <c r="Z118" s="1852"/>
      <c r="AA118" s="2324"/>
      <c r="AB118" s="1258"/>
      <c r="AC118" s="1258"/>
      <c r="AD118" s="1258"/>
      <c r="AE118" s="1258"/>
      <c r="AF118" s="2333">
        <v>11</v>
      </c>
    </row>
    <row s="61193" customFormat="1" customHeight="1" ht="11.549999999999999">
      <c r="A119" s="1679"/>
      <c r="B119" s="2328"/>
      <c r="C119" s="2328"/>
      <c r="D119" s="1043"/>
      <c r="K119" s="1852"/>
      <c r="L119" s="2328"/>
      <c r="M119" s="2328"/>
      <c r="N119" s="1852"/>
      <c r="O119" s="1852"/>
      <c r="P119" s="1852"/>
      <c r="Q119" s="1852"/>
      <c r="R119" s="2328"/>
      <c r="S119" s="1852"/>
      <c r="T119" s="1852"/>
      <c r="U119" s="1236"/>
      <c r="V119" s="1852"/>
      <c r="W119" s="1852"/>
      <c r="X119" s="1852"/>
      <c r="Y119" s="1852"/>
      <c r="Z119" s="1852"/>
      <c r="AA119" s="2324"/>
      <c r="AB119" s="1258"/>
      <c r="AC119" s="1258"/>
      <c r="AD119" s="1258"/>
      <c r="AE119" s="1258"/>
      <c r="AF119" s="2333">
        <v>11</v>
      </c>
    </row>
    <row s="61193" customFormat="1" customHeight="1" ht="11.549999999999999">
      <c r="A120" s="1679"/>
      <c r="B120" s="2328"/>
      <c r="C120" s="2328"/>
      <c r="D120" s="1043"/>
      <c r="K120" s="1852"/>
      <c r="L120" s="2328"/>
      <c r="M120" s="2328"/>
      <c r="N120" s="1852"/>
      <c r="O120" s="1852"/>
      <c r="P120" s="1852"/>
      <c r="Q120" s="1852"/>
      <c r="R120" s="2328"/>
      <c r="S120" s="1852"/>
      <c r="T120" s="1852"/>
      <c r="U120" s="1236"/>
      <c r="V120" s="1852"/>
      <c r="W120" s="1852"/>
      <c r="X120" s="1852"/>
      <c r="Y120" s="1852"/>
      <c r="Z120" s="1852"/>
      <c r="AA120" s="2324"/>
      <c r="AB120" s="1258"/>
      <c r="AC120" s="1258"/>
      <c r="AD120" s="1258"/>
      <c r="AE120" s="1258"/>
      <c r="AF120" s="2333">
        <v>11</v>
      </c>
    </row>
    <row s="61193" customFormat="1" customHeight="1" ht="11.549999999999999">
      <c r="A121" s="1679"/>
      <c r="B121" s="2328"/>
      <c r="C121" s="2328"/>
      <c r="D121" s="1043"/>
      <c r="K121" s="1852"/>
      <c r="L121" s="2328"/>
      <c r="M121" s="2328"/>
      <c r="N121" s="1852"/>
      <c r="O121" s="1852"/>
      <c r="P121" s="1852"/>
      <c r="Q121" s="1852"/>
      <c r="R121" s="2328"/>
      <c r="S121" s="1852"/>
      <c r="T121" s="1852"/>
      <c r="U121" s="1236"/>
      <c r="V121" s="1852"/>
      <c r="W121" s="1852"/>
      <c r="X121" s="1852"/>
      <c r="Y121" s="1852"/>
      <c r="Z121" s="1852"/>
      <c r="AA121" s="2324"/>
      <c r="AB121" s="1258"/>
      <c r="AC121" s="1258"/>
      <c r="AD121" s="1258"/>
      <c r="AE121" s="1258"/>
      <c r="AF121" s="2333">
        <v>11</v>
      </c>
    </row>
    <row s="61193" customFormat="1" customHeight="1" ht="11.549999999999999">
      <c r="A122" s="1679"/>
      <c r="B122" s="2328"/>
      <c r="C122" s="2328"/>
      <c r="D122" s="1043"/>
      <c r="K122" s="1852"/>
      <c r="L122" s="2328"/>
      <c r="M122" s="2328"/>
      <c r="N122" s="1852"/>
      <c r="O122" s="1852"/>
      <c r="P122" s="1852"/>
      <c r="Q122" s="1852"/>
      <c r="R122" s="2328"/>
      <c r="S122" s="1852"/>
      <c r="T122" s="1852"/>
      <c r="U122" s="1236"/>
      <c r="V122" s="1852"/>
      <c r="W122" s="1852"/>
      <c r="X122" s="1852"/>
      <c r="Y122" s="1852"/>
      <c r="Z122" s="1852"/>
      <c r="AA122" s="2324"/>
      <c r="AB122" s="1258"/>
      <c r="AC122" s="1258"/>
      <c r="AD122" s="1258"/>
      <c r="AE122" s="1258"/>
      <c r="AF122" s="2333">
        <v>11</v>
      </c>
    </row>
    <row s="61193" customFormat="1" customHeight="1" ht="11.549999999999999">
      <c r="A123" s="1679"/>
      <c r="B123" s="2328"/>
      <c r="C123" s="2328"/>
      <c r="D123" s="1043"/>
      <c r="K123" s="1852"/>
      <c r="L123" s="2328"/>
      <c r="M123" s="2328"/>
      <c r="N123" s="1852"/>
      <c r="O123" s="1852"/>
      <c r="P123" s="1852"/>
      <c r="Q123" s="1852"/>
      <c r="R123" s="2328"/>
      <c r="S123" s="1852"/>
      <c r="T123" s="1852"/>
      <c r="U123" s="1236"/>
      <c r="V123" s="1852"/>
      <c r="W123" s="1852"/>
      <c r="X123" s="1852"/>
      <c r="Y123" s="1852"/>
      <c r="Z123" s="1852"/>
      <c r="AA123" s="2324"/>
      <c r="AB123" s="1258"/>
      <c r="AC123" s="1258"/>
      <c r="AD123" s="1258"/>
      <c r="AE123" s="1258"/>
      <c r="AF123" s="2333">
        <v>11</v>
      </c>
    </row>
    <row s="61193" customFormat="1" customHeight="1" ht="11.549999999999999">
      <c r="A124" s="1679"/>
      <c r="B124" s="2328"/>
      <c r="C124" s="2328"/>
      <c r="D124" s="1043"/>
      <c r="K124" s="1852"/>
      <c r="L124" s="2328"/>
      <c r="M124" s="2328"/>
      <c r="N124" s="1852"/>
      <c r="O124" s="1852"/>
      <c r="P124" s="1852"/>
      <c r="Q124" s="1852"/>
      <c r="R124" s="2328"/>
      <c r="S124" s="1852"/>
      <c r="T124" s="1852"/>
      <c r="U124" s="1236"/>
      <c r="V124" s="1852"/>
      <c r="W124" s="1852"/>
      <c r="X124" s="1852"/>
      <c r="Y124" s="1852"/>
      <c r="Z124" s="1852"/>
      <c r="AA124" s="2324"/>
      <c r="AB124" s="1258"/>
      <c r="AC124" s="1258"/>
      <c r="AD124" s="1258"/>
      <c r="AE124" s="1258"/>
      <c r="AF124" s="2333">
        <v>11</v>
      </c>
    </row>
    <row s="61193" customFormat="1" customHeight="1" ht="11.549999999999999">
      <c r="A125" s="1679"/>
      <c r="B125" s="2328"/>
      <c r="C125" s="2328"/>
      <c r="D125" s="1043"/>
      <c r="K125" s="1852"/>
      <c r="L125" s="2328"/>
      <c r="M125" s="2328"/>
      <c r="N125" s="1852"/>
      <c r="O125" s="1852"/>
      <c r="P125" s="1852"/>
      <c r="Q125" s="1852"/>
      <c r="R125" s="2328"/>
      <c r="S125" s="1852"/>
      <c r="T125" s="1852"/>
      <c r="U125" s="1236"/>
      <c r="V125" s="1852"/>
      <c r="W125" s="1852"/>
      <c r="X125" s="1852"/>
      <c r="Y125" s="1852"/>
      <c r="Z125" s="1852"/>
      <c r="AA125" s="2324"/>
      <c r="AB125" s="1258"/>
      <c r="AC125" s="1258"/>
      <c r="AD125" s="1258"/>
      <c r="AE125" s="1258"/>
      <c r="AF125" s="2333">
        <v>11</v>
      </c>
    </row>
    <row s="61193" customFormat="1" customHeight="1" ht="11.549999999999999">
      <c r="A126" s="1679"/>
      <c r="B126" s="2328"/>
      <c r="C126" s="2328"/>
      <c r="D126" s="1043"/>
      <c r="K126" s="1852"/>
      <c r="L126" s="2328"/>
      <c r="M126" s="2328"/>
      <c r="N126" s="1852"/>
      <c r="O126" s="1852"/>
      <c r="P126" s="1852"/>
      <c r="Q126" s="1852"/>
      <c r="R126" s="2328"/>
      <c r="S126" s="1852"/>
      <c r="T126" s="1852"/>
      <c r="U126" s="1236"/>
      <c r="V126" s="1852"/>
      <c r="W126" s="1852"/>
      <c r="X126" s="1852"/>
      <c r="Y126" s="1852"/>
      <c r="Z126" s="1852"/>
      <c r="AA126" s="2324"/>
      <c r="AB126" s="1258"/>
      <c r="AC126" s="1258"/>
      <c r="AD126" s="1258"/>
      <c r="AE126" s="1258"/>
      <c r="AF126" s="2333">
        <v>11</v>
      </c>
    </row>
    <row s="61193" customFormat="1" customHeight="1" ht="11.549999999999999">
      <c r="A127" s="1679"/>
      <c r="B127" s="2328"/>
      <c r="C127" s="2328"/>
      <c r="D127" s="1043"/>
      <c r="K127" s="1852"/>
      <c r="L127" s="2328"/>
      <c r="M127" s="2328"/>
      <c r="N127" s="1852"/>
      <c r="O127" s="1852"/>
      <c r="P127" s="1852"/>
      <c r="Q127" s="1852"/>
      <c r="R127" s="2328"/>
      <c r="S127" s="1852"/>
      <c r="T127" s="1852"/>
      <c r="U127" s="1236"/>
      <c r="V127" s="1852"/>
      <c r="W127" s="1852"/>
      <c r="X127" s="1852"/>
      <c r="Y127" s="1852"/>
      <c r="Z127" s="1852"/>
      <c r="AA127" s="2324"/>
      <c r="AB127" s="1258"/>
      <c r="AC127" s="1258"/>
      <c r="AD127" s="1258"/>
      <c r="AE127" s="1258"/>
      <c r="AF127" s="2333">
        <v>11</v>
      </c>
    </row>
    <row s="61193" customFormat="1" customHeight="1" ht="11.549999999999999">
      <c r="A128" s="1679"/>
      <c r="B128" s="2328"/>
      <c r="C128" s="2328"/>
      <c r="D128" s="1043"/>
      <c r="K128" s="1852"/>
      <c r="L128" s="2328"/>
      <c r="M128" s="2328"/>
      <c r="N128" s="1852"/>
      <c r="O128" s="1852"/>
      <c r="P128" s="1852"/>
      <c r="Q128" s="1852"/>
      <c r="R128" s="2328"/>
      <c r="S128" s="1852"/>
      <c r="T128" s="1852"/>
      <c r="U128" s="1236"/>
      <c r="V128" s="1852"/>
      <c r="W128" s="1852"/>
      <c r="X128" s="1852"/>
      <c r="Y128" s="1852"/>
      <c r="Z128" s="1852"/>
      <c r="AA128" s="2324"/>
      <c r="AB128" s="1258"/>
      <c r="AC128" s="1258"/>
      <c r="AD128" s="1258"/>
      <c r="AE128" s="1258"/>
      <c r="AF128" s="2333">
        <v>11</v>
      </c>
    </row>
    <row s="61193" customFormat="1" customHeight="1" ht="11.549999999999999">
      <c r="A129" s="1679"/>
      <c r="B129" s="2328"/>
      <c r="C129" s="2328"/>
      <c r="D129" s="1043"/>
      <c r="K129" s="1852"/>
      <c r="L129" s="2328"/>
      <c r="M129" s="2328"/>
      <c r="N129" s="1852"/>
      <c r="O129" s="1852"/>
      <c r="P129" s="1852"/>
      <c r="Q129" s="1852"/>
      <c r="R129" s="2328"/>
      <c r="S129" s="1852"/>
      <c r="T129" s="1852"/>
      <c r="U129" s="1236"/>
      <c r="V129" s="1852"/>
      <c r="W129" s="1852"/>
      <c r="X129" s="1852"/>
      <c r="Y129" s="1852"/>
      <c r="Z129" s="1852"/>
      <c r="AA129" s="2324"/>
      <c r="AB129" s="1258"/>
      <c r="AC129" s="1258"/>
      <c r="AD129" s="1258"/>
      <c r="AE129" s="1258"/>
      <c r="AF129" s="2333">
        <v>11</v>
      </c>
    </row>
    <row s="61193" customFormat="1" customHeight="1" ht="11.549999999999999">
      <c r="A130" s="1679"/>
      <c r="B130" s="2328"/>
      <c r="C130" s="2328"/>
      <c r="D130" s="1043"/>
      <c r="K130" s="1852"/>
      <c r="L130" s="2328"/>
      <c r="M130" s="2328"/>
      <c r="N130" s="1852"/>
      <c r="O130" s="1852"/>
      <c r="P130" s="1852"/>
      <c r="Q130" s="1852"/>
      <c r="R130" s="2328"/>
      <c r="S130" s="1852"/>
      <c r="T130" s="1852"/>
      <c r="U130" s="1236"/>
      <c r="V130" s="1852"/>
      <c r="W130" s="1852"/>
      <c r="X130" s="1852"/>
      <c r="Y130" s="1852"/>
      <c r="Z130" s="1852"/>
      <c r="AA130" s="2324"/>
      <c r="AB130" s="1258"/>
      <c r="AC130" s="1258"/>
      <c r="AD130" s="1258"/>
      <c r="AE130" s="1258"/>
      <c r="AF130" s="2333">
        <v>11</v>
      </c>
    </row>
    <row s="61193" customFormat="1" customHeight="1" ht="11.549999999999999">
      <c r="A131" s="1679"/>
      <c r="B131" s="2328"/>
      <c r="C131" s="2328"/>
      <c r="D131" s="1043"/>
      <c r="K131" s="1852"/>
      <c r="L131" s="2328"/>
      <c r="M131" s="2328"/>
      <c r="N131" s="1852"/>
      <c r="O131" s="1852"/>
      <c r="P131" s="1852"/>
      <c r="Q131" s="1852"/>
      <c r="R131" s="2328"/>
      <c r="S131" s="1852"/>
      <c r="T131" s="1852"/>
      <c r="U131" s="1236"/>
      <c r="V131" s="1852"/>
      <c r="W131" s="1852"/>
      <c r="X131" s="1852"/>
      <c r="Y131" s="1852"/>
      <c r="Z131" s="1852"/>
      <c r="AA131" s="2324"/>
      <c r="AB131" s="1258"/>
      <c r="AC131" s="1258"/>
      <c r="AD131" s="1258"/>
      <c r="AE131" s="1258"/>
      <c r="AF131" s="2333">
        <v>11</v>
      </c>
    </row>
    <row s="61193" customFormat="1" customHeight="1" ht="11.549999999999999">
      <c r="A132" s="1679"/>
      <c r="B132" s="2328"/>
      <c r="C132" s="2328"/>
      <c r="D132" s="1043"/>
      <c r="K132" s="1852"/>
      <c r="L132" s="2328"/>
      <c r="M132" s="2328"/>
      <c r="N132" s="1852"/>
      <c r="O132" s="1852"/>
      <c r="P132" s="1852"/>
      <c r="Q132" s="1852"/>
      <c r="R132" s="2328"/>
      <c r="S132" s="1852"/>
      <c r="T132" s="1852"/>
      <c r="U132" s="1236"/>
      <c r="V132" s="1852"/>
      <c r="W132" s="1852"/>
      <c r="X132" s="1852"/>
      <c r="Y132" s="1852"/>
      <c r="Z132" s="1852"/>
      <c r="AA132" s="2324"/>
      <c r="AB132" s="1258"/>
      <c r="AC132" s="1258"/>
      <c r="AD132" s="1258"/>
      <c r="AE132" s="1258"/>
      <c r="AF132" s="2333">
        <v>11</v>
      </c>
    </row>
    <row s="61193" customFormat="1" customHeight="1" ht="11.549999999999999">
      <c r="A133" s="1679"/>
      <c r="B133" s="2328"/>
      <c r="C133" s="2328"/>
      <c r="D133" s="1043"/>
      <c r="K133" s="1852"/>
      <c r="L133" s="2328"/>
      <c r="M133" s="2328"/>
      <c r="N133" s="1852"/>
      <c r="O133" s="1852"/>
      <c r="P133" s="1852"/>
      <c r="Q133" s="1852"/>
      <c r="R133" s="2328"/>
      <c r="S133" s="1852"/>
      <c r="T133" s="1852"/>
      <c r="U133" s="1236"/>
      <c r="V133" s="1852"/>
      <c r="W133" s="1852"/>
      <c r="X133" s="1852"/>
      <c r="Y133" s="1852"/>
      <c r="Z133" s="1852"/>
      <c r="AA133" s="2324"/>
      <c r="AB133" s="1258"/>
      <c r="AC133" s="1258"/>
      <c r="AD133" s="1258"/>
      <c r="AE133" s="1258"/>
      <c r="AF133" s="2333">
        <v>11</v>
      </c>
    </row>
    <row s="61193" customFormat="1" customHeight="1" ht="11.549999999999999">
      <c r="A134" s="1679"/>
      <c r="B134" s="2328"/>
      <c r="C134" s="2328"/>
      <c r="D134" s="1043"/>
      <c r="K134" s="1852"/>
      <c r="L134" s="2328"/>
      <c r="M134" s="2328"/>
      <c r="N134" s="1852"/>
      <c r="O134" s="1852"/>
      <c r="P134" s="1852"/>
      <c r="Q134" s="1852"/>
      <c r="R134" s="2328"/>
      <c r="S134" s="1852"/>
      <c r="T134" s="1852"/>
      <c r="U134" s="1236"/>
      <c r="V134" s="1852"/>
      <c r="W134" s="1852"/>
      <c r="X134" s="1852"/>
      <c r="Y134" s="1852"/>
      <c r="Z134" s="1852"/>
      <c r="AA134" s="2324"/>
      <c r="AB134" s="1258"/>
      <c r="AC134" s="1258"/>
      <c r="AD134" s="1258"/>
      <c r="AE134" s="1258"/>
      <c r="AF134" s="2333">
        <v>11</v>
      </c>
    </row>
    <row s="61193" customFormat="1" customHeight="1" ht="11.549999999999999">
      <c r="A135" s="1679"/>
      <c r="B135" s="2328"/>
      <c r="C135" s="2328"/>
      <c r="D135" s="1043"/>
      <c r="K135" s="1852"/>
      <c r="L135" s="2328"/>
      <c r="M135" s="2328"/>
      <c r="N135" s="1852"/>
      <c r="O135" s="1852"/>
      <c r="P135" s="1852"/>
      <c r="Q135" s="1852"/>
      <c r="R135" s="2328"/>
      <c r="S135" s="1852"/>
      <c r="T135" s="1852"/>
      <c r="U135" s="1236"/>
      <c r="V135" s="1852"/>
      <c r="W135" s="1852"/>
      <c r="X135" s="1852"/>
      <c r="Y135" s="1852"/>
      <c r="Z135" s="1852"/>
      <c r="AA135" s="2324"/>
      <c r="AB135" s="1258"/>
      <c r="AC135" s="1258"/>
      <c r="AD135" s="1258"/>
      <c r="AE135" s="1258"/>
      <c r="AF135" s="2333">
        <v>11</v>
      </c>
    </row>
    <row s="61193" customFormat="1" customHeight="1" ht="11.549999999999999">
      <c r="A136" s="1679"/>
      <c r="B136" s="2328"/>
      <c r="C136" s="2328"/>
      <c r="D136" s="1043"/>
      <c r="K136" s="1852"/>
      <c r="L136" s="2328"/>
      <c r="M136" s="2328"/>
      <c r="N136" s="1852"/>
      <c r="O136" s="1852"/>
      <c r="P136" s="1852"/>
      <c r="Q136" s="1852"/>
      <c r="R136" s="2328"/>
      <c r="S136" s="1852"/>
      <c r="T136" s="1852"/>
      <c r="U136" s="1236"/>
      <c r="V136" s="1852"/>
      <c r="W136" s="1852"/>
      <c r="X136" s="1852"/>
      <c r="Y136" s="1852"/>
      <c r="Z136" s="1852"/>
      <c r="AA136" s="2324"/>
      <c r="AB136" s="1258"/>
      <c r="AC136" s="1258"/>
      <c r="AD136" s="1258"/>
      <c r="AE136" s="1258"/>
      <c r="AF136" s="2333">
        <v>11</v>
      </c>
    </row>
    <row s="61193" customFormat="1" customHeight="1" ht="11.549999999999999">
      <c r="A137" s="1679"/>
      <c r="B137" s="2328"/>
      <c r="C137" s="2328"/>
      <c r="D137" s="1043"/>
      <c r="K137" s="1852"/>
      <c r="L137" s="2328"/>
      <c r="M137" s="2328"/>
      <c r="N137" s="1852"/>
      <c r="O137" s="1852"/>
      <c r="P137" s="1852"/>
      <c r="Q137" s="1852"/>
      <c r="R137" s="2328"/>
      <c r="S137" s="1852"/>
      <c r="T137" s="1852"/>
      <c r="U137" s="1236"/>
      <c r="V137" s="1852"/>
      <c r="W137" s="1852"/>
      <c r="X137" s="1852"/>
      <c r="Y137" s="1852"/>
      <c r="Z137" s="1852"/>
      <c r="AA137" s="2324"/>
      <c r="AB137" s="1258"/>
      <c r="AC137" s="1258"/>
      <c r="AD137" s="1258"/>
      <c r="AE137" s="1258"/>
      <c r="AF137" s="2333">
        <v>11</v>
      </c>
    </row>
    <row s="61193" customFormat="1" customHeight="1" ht="11.549999999999999">
      <c r="A138" s="1679"/>
      <c r="B138" s="2328"/>
      <c r="C138" s="2328"/>
      <c r="D138" s="1043"/>
      <c r="K138" s="1852"/>
      <c r="L138" s="2328"/>
      <c r="M138" s="2328"/>
      <c r="N138" s="1852"/>
      <c r="O138" s="1852"/>
      <c r="P138" s="1852"/>
      <c r="Q138" s="1852"/>
      <c r="R138" s="2328"/>
      <c r="S138" s="1852"/>
      <c r="T138" s="1852"/>
      <c r="U138" s="1236"/>
      <c r="V138" s="1852"/>
      <c r="W138" s="1852"/>
      <c r="X138" s="1852"/>
      <c r="Y138" s="1852"/>
      <c r="Z138" s="1852"/>
      <c r="AA138" s="2324"/>
      <c r="AB138" s="1258"/>
      <c r="AC138" s="1258"/>
      <c r="AD138" s="1258"/>
      <c r="AE138" s="1258"/>
      <c r="AF138" s="2333">
        <v>11</v>
      </c>
    </row>
    <row s="61193" customFormat="1" customHeight="1" ht="11.549999999999999">
      <c r="A139" s="1679"/>
      <c r="B139" s="2328"/>
      <c r="C139" s="2328"/>
      <c r="D139" s="1043"/>
      <c r="K139" s="1852"/>
      <c r="L139" s="2328"/>
      <c r="M139" s="2328"/>
      <c r="N139" s="1852"/>
      <c r="O139" s="1852"/>
      <c r="P139" s="1852"/>
      <c r="Q139" s="1852"/>
      <c r="R139" s="2328"/>
      <c r="S139" s="1852"/>
      <c r="T139" s="1852"/>
      <c r="U139" s="1236"/>
      <c r="V139" s="1852"/>
      <c r="W139" s="1852"/>
      <c r="X139" s="1852"/>
      <c r="Y139" s="1852"/>
      <c r="Z139" s="1852"/>
      <c r="AA139" s="2324"/>
      <c r="AB139" s="1258"/>
      <c r="AC139" s="1258"/>
      <c r="AD139" s="1258"/>
      <c r="AE139" s="1258"/>
      <c r="AF139" s="2333">
        <v>11</v>
      </c>
    </row>
    <row s="61193" customFormat="1" customHeight="1" ht="11.549999999999999">
      <c r="A140" s="1679"/>
      <c r="B140" s="2328"/>
      <c r="C140" s="2328"/>
      <c r="D140" s="1043"/>
      <c r="K140" s="1852"/>
      <c r="L140" s="2328"/>
      <c r="M140" s="2328"/>
      <c r="N140" s="1852"/>
      <c r="O140" s="1852"/>
      <c r="P140" s="1852"/>
      <c r="Q140" s="1852"/>
      <c r="R140" s="2328"/>
      <c r="S140" s="1852"/>
      <c r="T140" s="1852"/>
      <c r="U140" s="1236"/>
      <c r="V140" s="1852"/>
      <c r="W140" s="1852"/>
      <c r="X140" s="1852"/>
      <c r="Y140" s="1852"/>
      <c r="Z140" s="1852"/>
      <c r="AA140" s="2324"/>
      <c r="AB140" s="1258"/>
      <c r="AC140" s="1258"/>
      <c r="AD140" s="1258"/>
      <c r="AE140" s="1258"/>
      <c r="AF140" s="2333">
        <v>11</v>
      </c>
    </row>
    <row s="61193" customFormat="1" customHeight="1" ht="11.549999999999999">
      <c r="A141" s="1679"/>
      <c r="B141" s="2328"/>
      <c r="C141" s="2328"/>
      <c r="D141" s="1043"/>
      <c r="K141" s="1852"/>
      <c r="L141" s="2328"/>
      <c r="M141" s="2328"/>
      <c r="N141" s="1852"/>
      <c r="O141" s="1852"/>
      <c r="P141" s="1852"/>
      <c r="Q141" s="1852"/>
      <c r="R141" s="2328"/>
      <c r="S141" s="1852"/>
      <c r="T141" s="1852"/>
      <c r="U141" s="1236"/>
      <c r="V141" s="1852"/>
      <c r="W141" s="1852"/>
      <c r="X141" s="1852"/>
      <c r="Y141" s="1852"/>
      <c r="Z141" s="1852"/>
      <c r="AA141" s="2324"/>
      <c r="AB141" s="1258"/>
      <c r="AC141" s="1258"/>
      <c r="AD141" s="1258"/>
      <c r="AE141" s="1258"/>
      <c r="AF141" s="2333">
        <v>11</v>
      </c>
    </row>
    <row s="61193" customFormat="1" customHeight="1" ht="11.549999999999999">
      <c r="A142" s="1679"/>
      <c r="B142" s="2328"/>
      <c r="C142" s="2328"/>
      <c r="D142" s="1043"/>
      <c r="K142" s="1852"/>
      <c r="L142" s="2328"/>
      <c r="M142" s="2328"/>
      <c r="N142" s="1852"/>
      <c r="O142" s="1852"/>
      <c r="P142" s="1852"/>
      <c r="Q142" s="1852"/>
      <c r="R142" s="2328"/>
      <c r="S142" s="1852"/>
      <c r="T142" s="1852"/>
      <c r="U142" s="1236"/>
      <c r="V142" s="1852"/>
      <c r="W142" s="1852"/>
      <c r="X142" s="1852"/>
      <c r="Y142" s="1852"/>
      <c r="Z142" s="1852"/>
      <c r="AA142" s="2324"/>
      <c r="AB142" s="1258"/>
      <c r="AC142" s="1258"/>
      <c r="AD142" s="1258"/>
      <c r="AE142" s="1258"/>
      <c r="AF142" s="2333">
        <v>11</v>
      </c>
    </row>
    <row s="61193" customFormat="1" customHeight="1" ht="11.549999999999999">
      <c r="A143" s="1679"/>
      <c r="B143" s="2328"/>
      <c r="C143" s="2328"/>
      <c r="D143" s="1043"/>
      <c r="K143" s="1852"/>
      <c r="L143" s="2328"/>
      <c r="M143" s="2328"/>
      <c r="N143" s="1852"/>
      <c r="O143" s="1852"/>
      <c r="P143" s="1852"/>
      <c r="Q143" s="1852"/>
      <c r="R143" s="2328"/>
      <c r="S143" s="1852"/>
      <c r="T143" s="1852"/>
      <c r="U143" s="1236"/>
      <c r="V143" s="1852"/>
      <c r="W143" s="1852"/>
      <c r="X143" s="1852"/>
      <c r="Y143" s="1852"/>
      <c r="Z143" s="1852"/>
      <c r="AA143" s="2324"/>
      <c r="AB143" s="1258"/>
      <c r="AC143" s="1258"/>
      <c r="AD143" s="1258"/>
      <c r="AE143" s="1258"/>
      <c r="AF143" s="2333">
        <v>11</v>
      </c>
    </row>
    <row s="61193" customFormat="1" customHeight="1" ht="11.549999999999999">
      <c r="A144" s="1679"/>
      <c r="B144" s="2328"/>
      <c r="C144" s="2328"/>
      <c r="D144" s="1043"/>
      <c r="K144" s="1852"/>
      <c r="L144" s="2328"/>
      <c r="M144" s="2328"/>
      <c r="N144" s="1852"/>
      <c r="O144" s="1852"/>
      <c r="P144" s="1852"/>
      <c r="Q144" s="1852"/>
      <c r="R144" s="2328"/>
      <c r="S144" s="1852"/>
      <c r="T144" s="1852"/>
      <c r="U144" s="1236"/>
      <c r="V144" s="1852"/>
      <c r="W144" s="1852"/>
      <c r="X144" s="1852"/>
      <c r="Y144" s="1852"/>
      <c r="Z144" s="1852"/>
      <c r="AA144" s="2324"/>
      <c r="AB144" s="1258"/>
      <c r="AC144" s="1258"/>
      <c r="AD144" s="1258"/>
      <c r="AE144" s="1258"/>
      <c r="AF144" s="2333">
        <v>11</v>
      </c>
    </row>
    <row s="61193" customFormat="1" customHeight="1" ht="11.549999999999999">
      <c r="A145" s="1679"/>
      <c r="B145" s="2328"/>
      <c r="C145" s="2328"/>
      <c r="D145" s="1043"/>
      <c r="K145" s="1852"/>
      <c r="L145" s="2328"/>
      <c r="M145" s="2328"/>
      <c r="N145" s="1852"/>
      <c r="O145" s="1852"/>
      <c r="P145" s="1852"/>
      <c r="Q145" s="1852"/>
      <c r="R145" s="2328"/>
      <c r="S145" s="1852"/>
      <c r="T145" s="1852"/>
      <c r="U145" s="1236"/>
      <c r="V145" s="1852"/>
      <c r="W145" s="1852"/>
      <c r="X145" s="1852"/>
      <c r="Y145" s="1852"/>
      <c r="Z145" s="1852"/>
      <c r="AA145" s="2324"/>
      <c r="AB145" s="1258"/>
      <c r="AC145" s="1258"/>
      <c r="AD145" s="1258"/>
      <c r="AE145" s="1258"/>
      <c r="AF145" s="2333">
        <v>11</v>
      </c>
    </row>
    <row s="61193" customFormat="1" customHeight="1" ht="11.549999999999999">
      <c r="A146" s="1679"/>
      <c r="B146" s="2328"/>
      <c r="C146" s="2328"/>
      <c r="D146" s="1043"/>
      <c r="K146" s="1852"/>
      <c r="L146" s="2328"/>
      <c r="M146" s="2328"/>
      <c r="N146" s="1852"/>
      <c r="O146" s="1852"/>
      <c r="P146" s="1852"/>
      <c r="Q146" s="1852"/>
      <c r="R146" s="2328"/>
      <c r="S146" s="1852"/>
      <c r="T146" s="1852"/>
      <c r="U146" s="1236"/>
      <c r="V146" s="1852"/>
      <c r="W146" s="1852"/>
      <c r="X146" s="1852"/>
      <c r="Y146" s="1852"/>
      <c r="Z146" s="1852"/>
      <c r="AA146" s="2324"/>
      <c r="AB146" s="1258"/>
      <c r="AC146" s="1258"/>
      <c r="AD146" s="1258"/>
      <c r="AE146" s="1258"/>
      <c r="AF146" s="2333">
        <v>11</v>
      </c>
    </row>
    <row s="61193" customFormat="1" customHeight="1" ht="11.549999999999999">
      <c r="A147" s="1679"/>
      <c r="B147" s="2328"/>
      <c r="C147" s="2328"/>
      <c r="D147" s="1043"/>
      <c r="K147" s="1852"/>
      <c r="L147" s="2328"/>
      <c r="M147" s="2328"/>
      <c r="N147" s="1852"/>
      <c r="O147" s="1852"/>
      <c r="P147" s="1852"/>
      <c r="Q147" s="1852"/>
      <c r="R147" s="2328"/>
      <c r="S147" s="1852"/>
      <c r="T147" s="1852"/>
      <c r="U147" s="1236"/>
      <c r="V147" s="1852"/>
      <c r="W147" s="1852"/>
      <c r="X147" s="1852"/>
      <c r="Y147" s="1852"/>
      <c r="Z147" s="1852"/>
      <c r="AA147" s="2324"/>
      <c r="AB147" s="1258"/>
      <c r="AC147" s="1258"/>
      <c r="AD147" s="1258"/>
      <c r="AE147" s="1258"/>
      <c r="AF147" s="2333">
        <v>11</v>
      </c>
    </row>
    <row s="61193" customFormat="1" customHeight="1" ht="11.549999999999999">
      <c r="A148" s="1679"/>
      <c r="B148" s="2328"/>
      <c r="C148" s="2328"/>
      <c r="D148" s="1043"/>
      <c r="K148" s="1852"/>
      <c r="L148" s="2328"/>
      <c r="M148" s="2328"/>
      <c r="N148" s="1852"/>
      <c r="O148" s="1852"/>
      <c r="P148" s="1852"/>
      <c r="Q148" s="1852"/>
      <c r="R148" s="2328"/>
      <c r="S148" s="1852"/>
      <c r="T148" s="1852"/>
      <c r="U148" s="1236"/>
      <c r="V148" s="1852"/>
      <c r="W148" s="1852"/>
      <c r="X148" s="1852"/>
      <c r="Y148" s="1852"/>
      <c r="Z148" s="1852"/>
      <c r="AA148" s="2324"/>
      <c r="AB148" s="1258"/>
      <c r="AC148" s="1258"/>
      <c r="AD148" s="1258"/>
      <c r="AE148" s="1258"/>
      <c r="AF148" s="2333">
        <v>11</v>
      </c>
    </row>
    <row s="61193" customFormat="1" customHeight="1" ht="11.549999999999999">
      <c r="A149" s="1679"/>
      <c r="B149" s="2328"/>
      <c r="C149" s="2328"/>
      <c r="D149" s="1043"/>
      <c r="K149" s="1852"/>
      <c r="L149" s="2328"/>
      <c r="M149" s="2328"/>
      <c r="N149" s="1852"/>
      <c r="O149" s="1852"/>
      <c r="P149" s="1852"/>
      <c r="Q149" s="1852"/>
      <c r="R149" s="2328"/>
      <c r="S149" s="1852"/>
      <c r="T149" s="1852"/>
      <c r="U149" s="1236"/>
      <c r="V149" s="1852"/>
      <c r="W149" s="1852"/>
      <c r="X149" s="1852"/>
      <c r="Y149" s="1852"/>
      <c r="Z149" s="1852"/>
      <c r="AA149" s="2324"/>
      <c r="AB149" s="1258"/>
      <c r="AC149" s="1258"/>
      <c r="AD149" s="1258"/>
      <c r="AE149" s="1258"/>
      <c r="AF149" s="2333">
        <v>11</v>
      </c>
    </row>
    <row s="61193" customFormat="1" customHeight="1" ht="11.549999999999999">
      <c r="A150" s="1679"/>
      <c r="B150" s="2328"/>
      <c r="C150" s="2328"/>
      <c r="D150" s="1043"/>
      <c r="K150" s="1852"/>
      <c r="L150" s="2328"/>
      <c r="M150" s="2328"/>
      <c r="N150" s="1852"/>
      <c r="O150" s="1852"/>
      <c r="P150" s="1852"/>
      <c r="Q150" s="1852"/>
      <c r="R150" s="2328"/>
      <c r="S150" s="1852"/>
      <c r="T150" s="1852"/>
      <c r="U150" s="1236"/>
      <c r="V150" s="1852"/>
      <c r="W150" s="1852"/>
      <c r="X150" s="1852"/>
      <c r="Y150" s="1852"/>
      <c r="Z150" s="1852"/>
      <c r="AA150" s="2324"/>
      <c r="AB150" s="1258"/>
      <c r="AC150" s="1258"/>
      <c r="AD150" s="1258"/>
      <c r="AE150" s="1258"/>
      <c r="AF150" s="2333">
        <v>11</v>
      </c>
    </row>
    <row s="61193" customFormat="1" customHeight="1" ht="11.549999999999999">
      <c r="A151" s="1679"/>
      <c r="B151" s="2328"/>
      <c r="C151" s="2328"/>
      <c r="D151" s="1043"/>
      <c r="K151" s="1852"/>
      <c r="L151" s="2328"/>
      <c r="M151" s="2328"/>
      <c r="N151" s="1852"/>
      <c r="O151" s="1852"/>
      <c r="P151" s="1852"/>
      <c r="Q151" s="1852"/>
      <c r="R151" s="2328"/>
      <c r="S151" s="1852"/>
      <c r="T151" s="1852"/>
      <c r="U151" s="1236"/>
      <c r="V151" s="1852"/>
      <c r="W151" s="1852"/>
      <c r="X151" s="1852"/>
      <c r="Y151" s="1852"/>
      <c r="Z151" s="1852"/>
      <c r="AA151" s="2324"/>
      <c r="AB151" s="1258"/>
      <c r="AC151" s="1258"/>
      <c r="AD151" s="1258"/>
      <c r="AE151" s="1258"/>
      <c r="AF151" s="2333">
        <v>11</v>
      </c>
    </row>
    <row s="61193" customFormat="1" customHeight="1" ht="11.549999999999999">
      <c r="A152" s="1679"/>
      <c r="B152" s="2328"/>
      <c r="C152" s="2328"/>
      <c r="D152" s="1043"/>
      <c r="K152" s="1852"/>
      <c r="L152" s="2328"/>
      <c r="M152" s="2328"/>
      <c r="N152" s="1852"/>
      <c r="O152" s="1852"/>
      <c r="P152" s="1852"/>
      <c r="Q152" s="1852"/>
      <c r="R152" s="2328"/>
      <c r="S152" s="1852"/>
      <c r="T152" s="1852"/>
      <c r="U152" s="1236"/>
      <c r="V152" s="1852"/>
      <c r="W152" s="1852"/>
      <c r="X152" s="1852"/>
      <c r="Y152" s="1852"/>
      <c r="Z152" s="1852"/>
      <c r="AA152" s="2324"/>
      <c r="AB152" s="1258"/>
      <c r="AC152" s="1258"/>
      <c r="AD152" s="1258"/>
      <c r="AE152" s="1258"/>
      <c r="AF152" s="2333">
        <v>11</v>
      </c>
    </row>
    <row s="61193" customFormat="1" customHeight="1" ht="11.549999999999999">
      <c r="A153" s="1679"/>
      <c r="B153" s="2328"/>
      <c r="C153" s="2328"/>
      <c r="D153" s="1043"/>
      <c r="K153" s="1852"/>
      <c r="L153" s="2328"/>
      <c r="M153" s="2328"/>
      <c r="N153" s="1852"/>
      <c r="O153" s="1852"/>
      <c r="P153" s="1852"/>
      <c r="Q153" s="1852"/>
      <c r="R153" s="2328"/>
      <c r="S153" s="1852"/>
      <c r="T153" s="1852"/>
      <c r="U153" s="1236"/>
      <c r="V153" s="1852"/>
      <c r="W153" s="1852"/>
      <c r="X153" s="1852"/>
      <c r="Y153" s="1852"/>
      <c r="Z153" s="1852"/>
      <c r="AA153" s="2324"/>
      <c r="AB153" s="1258"/>
      <c r="AC153" s="1258"/>
      <c r="AD153" s="1258"/>
      <c r="AE153" s="1258"/>
      <c r="AF153" s="2333">
        <v>11</v>
      </c>
    </row>
    <row s="61193" customFormat="1" customHeight="1" ht="11.549999999999999">
      <c r="A154" s="1679"/>
      <c r="B154" s="2328"/>
      <c r="C154" s="2328"/>
      <c r="D154" s="1043"/>
      <c r="K154" s="1852"/>
      <c r="L154" s="2328"/>
      <c r="M154" s="2328"/>
      <c r="N154" s="1852"/>
      <c r="O154" s="1852"/>
      <c r="P154" s="1852"/>
      <c r="Q154" s="1852"/>
      <c r="R154" s="2328"/>
      <c r="S154" s="1852"/>
      <c r="T154" s="1852"/>
      <c r="U154" s="1236"/>
      <c r="V154" s="1852"/>
      <c r="W154" s="1852"/>
      <c r="X154" s="1852"/>
      <c r="Y154" s="1852"/>
      <c r="Z154" s="1852"/>
      <c r="AA154" s="2324"/>
      <c r="AB154" s="1258"/>
      <c r="AC154" s="1258"/>
      <c r="AD154" s="1258"/>
      <c r="AE154" s="1258"/>
      <c r="AF154" s="2333">
        <v>11</v>
      </c>
    </row>
    <row s="61193" customFormat="1" customHeight="1" ht="11.549999999999999">
      <c r="A155" s="1679"/>
      <c r="B155" s="2328"/>
      <c r="C155" s="2328"/>
      <c r="D155" s="1043"/>
      <c r="K155" s="1852"/>
      <c r="L155" s="2328"/>
      <c r="M155" s="2328"/>
      <c r="N155" s="1852"/>
      <c r="O155" s="1852"/>
      <c r="P155" s="1852"/>
      <c r="Q155" s="1852"/>
      <c r="R155" s="2328"/>
      <c r="S155" s="1852"/>
      <c r="T155" s="1852"/>
      <c r="U155" s="1236"/>
      <c r="V155" s="1852"/>
      <c r="W155" s="1852"/>
      <c r="X155" s="1852"/>
      <c r="Y155" s="1852"/>
      <c r="Z155" s="1852"/>
      <c r="AA155" s="2324"/>
      <c r="AB155" s="1258"/>
      <c r="AC155" s="1258"/>
      <c r="AD155" s="1258"/>
      <c r="AE155" s="1258"/>
      <c r="AF155" s="2333">
        <v>11</v>
      </c>
    </row>
    <row s="61193" customFormat="1" customHeight="1" ht="11.549999999999999">
      <c r="A156" s="1679"/>
      <c r="B156" s="2328"/>
      <c r="C156" s="2328"/>
      <c r="D156" s="1043"/>
      <c r="K156" s="1852"/>
      <c r="L156" s="2328"/>
      <c r="M156" s="2328"/>
      <c r="N156" s="1852"/>
      <c r="O156" s="1852"/>
      <c r="P156" s="1852"/>
      <c r="Q156" s="1852"/>
      <c r="R156" s="2328"/>
      <c r="S156" s="1852"/>
      <c r="T156" s="1852"/>
      <c r="U156" s="1236"/>
      <c r="V156" s="1852"/>
      <c r="W156" s="1852"/>
      <c r="X156" s="1852"/>
      <c r="Y156" s="1852"/>
      <c r="Z156" s="1852"/>
      <c r="AA156" s="2324"/>
      <c r="AB156" s="1258"/>
      <c r="AC156" s="1258"/>
      <c r="AD156" s="1258"/>
      <c r="AE156" s="1258"/>
      <c r="AF156" s="2333">
        <v>11</v>
      </c>
    </row>
    <row s="61193" customFormat="1" customHeight="1" ht="11.549999999999999">
      <c r="A157" s="1679"/>
      <c r="B157" s="2328"/>
      <c r="C157" s="2328"/>
      <c r="D157" s="1043"/>
      <c r="K157" s="1852"/>
      <c r="L157" s="2328"/>
      <c r="M157" s="2328"/>
      <c r="N157" s="1852"/>
      <c r="O157" s="1852"/>
      <c r="P157" s="1852"/>
      <c r="Q157" s="1852"/>
      <c r="R157" s="2328"/>
      <c r="S157" s="1852"/>
      <c r="T157" s="1852"/>
      <c r="U157" s="1236"/>
      <c r="V157" s="1852"/>
      <c r="W157" s="1852"/>
      <c r="X157" s="1852"/>
      <c r="Y157" s="1852"/>
      <c r="Z157" s="1852"/>
      <c r="AA157" s="2324"/>
      <c r="AB157" s="1258"/>
      <c r="AC157" s="1258"/>
      <c r="AD157" s="1258"/>
      <c r="AE157" s="1258"/>
      <c r="AF157" s="2333">
        <v>11</v>
      </c>
    </row>
    <row s="61193" customFormat="1" customHeight="1" ht="11.549999999999999">
      <c r="A158" s="1679"/>
      <c r="B158" s="2328"/>
      <c r="C158" s="2328"/>
      <c r="D158" s="1043"/>
      <c r="K158" s="1852"/>
      <c r="L158" s="2328"/>
      <c r="M158" s="2328"/>
      <c r="N158" s="1852"/>
      <c r="O158" s="1852"/>
      <c r="P158" s="1852"/>
      <c r="Q158" s="1852"/>
      <c r="R158" s="2328"/>
      <c r="S158" s="1852"/>
      <c r="T158" s="1852"/>
      <c r="U158" s="1236"/>
      <c r="V158" s="1852"/>
      <c r="W158" s="1852"/>
      <c r="X158" s="1852"/>
      <c r="Y158" s="1852"/>
      <c r="Z158" s="1852"/>
      <c r="AA158" s="2324"/>
      <c r="AB158" s="1258"/>
      <c r="AC158" s="1258"/>
      <c r="AD158" s="1258"/>
      <c r="AE158" s="1258"/>
      <c r="AF158" s="2333">
        <v>11</v>
      </c>
    </row>
    <row s="61193" customFormat="1" customHeight="1" ht="11.549999999999999">
      <c r="A159" s="1679"/>
      <c r="B159" s="2328"/>
      <c r="C159" s="2328"/>
      <c r="D159" s="1043"/>
      <c r="K159" s="1852"/>
      <c r="L159" s="2328"/>
      <c r="M159" s="2328"/>
      <c r="N159" s="1852"/>
      <c r="O159" s="1852"/>
      <c r="P159" s="1852"/>
      <c r="Q159" s="1852"/>
      <c r="R159" s="2328"/>
      <c r="S159" s="1852"/>
      <c r="T159" s="1852"/>
      <c r="U159" s="1236"/>
      <c r="V159" s="1852"/>
      <c r="W159" s="1852"/>
      <c r="X159" s="1852"/>
      <c r="Y159" s="1852"/>
      <c r="Z159" s="1852"/>
      <c r="AA159" s="2324"/>
      <c r="AB159" s="1258"/>
      <c r="AC159" s="1258"/>
      <c r="AD159" s="1258"/>
      <c r="AE159" s="1258"/>
      <c r="AF159" s="2333">
        <v>11</v>
      </c>
    </row>
    <row s="61193" customFormat="1" customHeight="1" ht="11.549999999999999">
      <c r="A160" s="1679"/>
      <c r="B160" s="2328"/>
      <c r="C160" s="2328"/>
      <c r="D160" s="1043"/>
      <c r="K160" s="1852"/>
      <c r="L160" s="2328"/>
      <c r="M160" s="2328"/>
      <c r="N160" s="1852"/>
      <c r="O160" s="1852"/>
      <c r="P160" s="1852"/>
      <c r="Q160" s="1852"/>
      <c r="R160" s="2328"/>
      <c r="S160" s="1852"/>
      <c r="T160" s="1852"/>
      <c r="U160" s="1236"/>
      <c r="V160" s="1852"/>
      <c r="W160" s="1852"/>
      <c r="X160" s="1852"/>
      <c r="Y160" s="1852"/>
      <c r="Z160" s="1852"/>
      <c r="AA160" s="2324"/>
      <c r="AB160" s="1258"/>
      <c r="AC160" s="1258"/>
      <c r="AD160" s="1258"/>
      <c r="AE160" s="1258"/>
      <c r="AF160" s="2333">
        <v>11</v>
      </c>
    </row>
    <row s="61193" customFormat="1" customHeight="1" ht="11.549999999999999">
      <c r="A161" s="1679"/>
      <c r="B161" s="2328"/>
      <c r="C161" s="2328"/>
      <c r="D161" s="1043"/>
      <c r="K161" s="1852"/>
      <c r="L161" s="2328"/>
      <c r="M161" s="2328"/>
      <c r="N161" s="1852"/>
      <c r="O161" s="1852"/>
      <c r="P161" s="1852"/>
      <c r="Q161" s="1852"/>
      <c r="R161" s="2328"/>
      <c r="S161" s="1852"/>
      <c r="T161" s="1852"/>
      <c r="U161" s="1236"/>
      <c r="V161" s="1852"/>
      <c r="W161" s="1852"/>
      <c r="X161" s="1852"/>
      <c r="Y161" s="1852"/>
      <c r="Z161" s="1852"/>
      <c r="AA161" s="2324"/>
      <c r="AB161" s="1258"/>
      <c r="AC161" s="1258"/>
      <c r="AD161" s="1258"/>
      <c r="AE161" s="1258"/>
      <c r="AF161" s="2333">
        <v>11</v>
      </c>
    </row>
    <row s="61193" customFormat="1" customHeight="1" ht="11.549999999999999">
      <c r="A162" s="1679"/>
      <c r="B162" s="2328"/>
      <c r="C162" s="2328"/>
      <c r="D162" s="1043"/>
      <c r="K162" s="1852"/>
      <c r="L162" s="2328"/>
      <c r="M162" s="2328"/>
      <c r="N162" s="1852"/>
      <c r="O162" s="1852"/>
      <c r="P162" s="1852"/>
      <c r="Q162" s="1852"/>
      <c r="R162" s="2328"/>
      <c r="S162" s="1852"/>
      <c r="T162" s="1852"/>
      <c r="U162" s="1236"/>
      <c r="V162" s="1852"/>
      <c r="W162" s="1852"/>
      <c r="X162" s="1852"/>
      <c r="Y162" s="1852"/>
      <c r="Z162" s="1852"/>
      <c r="AA162" s="2324"/>
      <c r="AB162" s="1258"/>
      <c r="AC162" s="1258"/>
      <c r="AD162" s="1258"/>
      <c r="AE162" s="1258"/>
      <c r="AF162" s="2333">
        <v>11</v>
      </c>
    </row>
    <row s="61193" customFormat="1" customHeight="1" ht="11.549999999999999">
      <c r="A163" s="1679"/>
      <c r="B163" s="2328"/>
      <c r="C163" s="2328"/>
      <c r="D163" s="1043"/>
      <c r="K163" s="1852"/>
      <c r="L163" s="2328"/>
      <c r="M163" s="2328"/>
      <c r="N163" s="1852"/>
      <c r="O163" s="1852"/>
      <c r="P163" s="1852"/>
      <c r="Q163" s="1852"/>
      <c r="R163" s="2328"/>
      <c r="S163" s="1852"/>
      <c r="T163" s="1852"/>
      <c r="U163" s="1236"/>
      <c r="V163" s="1852"/>
      <c r="W163" s="1852"/>
      <c r="X163" s="1852"/>
      <c r="Y163" s="1852"/>
      <c r="Z163" s="1852"/>
      <c r="AA163" s="2324"/>
      <c r="AB163" s="1258"/>
      <c r="AC163" s="1258"/>
      <c r="AD163" s="1258"/>
      <c r="AE163" s="1258"/>
      <c r="AF163" s="2333">
        <v>11</v>
      </c>
    </row>
    <row s="61193" customFormat="1" customHeight="1" ht="11.549999999999999">
      <c r="A164" s="1679"/>
      <c r="B164" s="2328"/>
      <c r="C164" s="2328"/>
      <c r="D164" s="1043"/>
      <c r="K164" s="1852"/>
      <c r="L164" s="2328"/>
      <c r="M164" s="2328"/>
      <c r="N164" s="1852"/>
      <c r="O164" s="1852"/>
      <c r="P164" s="1852"/>
      <c r="Q164" s="1852"/>
      <c r="R164" s="2328"/>
      <c r="S164" s="1852"/>
      <c r="T164" s="1852"/>
      <c r="U164" s="1236"/>
      <c r="V164" s="1852"/>
      <c r="W164" s="1852"/>
      <c r="X164" s="1852"/>
      <c r="Y164" s="1852"/>
      <c r="Z164" s="1852"/>
      <c r="AA164" s="2324"/>
      <c r="AB164" s="1258"/>
      <c r="AC164" s="1258"/>
      <c r="AD164" s="1258"/>
      <c r="AE164" s="1258"/>
      <c r="AF164" s="2333">
        <v>11</v>
      </c>
    </row>
    <row s="61193" customFormat="1" customHeight="1" ht="11.549999999999999">
      <c r="A165" s="1679"/>
      <c r="B165" s="2328"/>
      <c r="C165" s="2328"/>
      <c r="D165" s="1043"/>
      <c r="K165" s="1852"/>
      <c r="L165" s="2328"/>
      <c r="M165" s="2328"/>
      <c r="N165" s="1852"/>
      <c r="O165" s="1852"/>
      <c r="P165" s="1852"/>
      <c r="Q165" s="1852"/>
      <c r="R165" s="2328"/>
      <c r="S165" s="1852"/>
      <c r="T165" s="1852"/>
      <c r="U165" s="1236"/>
      <c r="V165" s="1852"/>
      <c r="W165" s="1852"/>
      <c r="X165" s="1852"/>
      <c r="Y165" s="1852"/>
      <c r="Z165" s="1852"/>
      <c r="AA165" s="2324"/>
      <c r="AB165" s="1258"/>
      <c r="AC165" s="1258"/>
      <c r="AD165" s="1258"/>
      <c r="AE165" s="1258"/>
      <c r="AF165" s="2333">
        <v>11</v>
      </c>
    </row>
    <row s="61193" customFormat="1" customHeight="1" ht="11.549999999999999">
      <c r="A166" s="1679"/>
      <c r="B166" s="2328"/>
      <c r="C166" s="2328"/>
      <c r="D166" s="1043"/>
      <c r="K166" s="1852"/>
      <c r="L166" s="2328"/>
      <c r="M166" s="2328"/>
      <c r="N166" s="1852"/>
      <c r="O166" s="1852"/>
      <c r="P166" s="1852"/>
      <c r="Q166" s="1852"/>
      <c r="R166" s="2328"/>
      <c r="S166" s="1852"/>
      <c r="T166" s="1852"/>
      <c r="U166" s="1236"/>
      <c r="V166" s="1852"/>
      <c r="W166" s="1852"/>
      <c r="X166" s="1852"/>
      <c r="Y166" s="1852"/>
      <c r="Z166" s="1852"/>
      <c r="AA166" s="2324"/>
      <c r="AB166" s="1258"/>
      <c r="AC166" s="1258"/>
      <c r="AD166" s="1258"/>
      <c r="AE166" s="1258"/>
      <c r="AF166" s="2333">
        <v>11</v>
      </c>
    </row>
    <row s="61193" customFormat="1" customHeight="1" ht="11.549999999999999">
      <c r="A167" s="1679"/>
      <c r="B167" s="2328"/>
      <c r="C167" s="2328"/>
      <c r="D167" s="1043"/>
      <c r="K167" s="1852"/>
      <c r="L167" s="2328"/>
      <c r="M167" s="2328"/>
      <c r="N167" s="1852"/>
      <c r="O167" s="1852"/>
      <c r="P167" s="1852"/>
      <c r="Q167" s="1852"/>
      <c r="R167" s="2328"/>
      <c r="S167" s="1852"/>
      <c r="T167" s="1852"/>
      <c r="U167" s="1236"/>
      <c r="V167" s="1852"/>
      <c r="W167" s="1852"/>
      <c r="X167" s="1852"/>
      <c r="Y167" s="1852"/>
      <c r="Z167" s="1852"/>
      <c r="AA167" s="2324"/>
      <c r="AB167" s="1258"/>
      <c r="AC167" s="1258"/>
      <c r="AD167" s="1258"/>
      <c r="AE167" s="1258"/>
      <c r="AF167" s="2333">
        <v>11</v>
      </c>
    </row>
    <row s="61193" customFormat="1" customHeight="1" ht="11.549999999999999">
      <c r="A168" s="1679"/>
      <c r="B168" s="2328"/>
      <c r="C168" s="2328"/>
      <c r="D168" s="1043"/>
      <c r="K168" s="1852"/>
      <c r="L168" s="2328"/>
      <c r="M168" s="2328"/>
      <c r="N168" s="1852"/>
      <c r="O168" s="1852"/>
      <c r="P168" s="1852"/>
      <c r="Q168" s="1852"/>
      <c r="R168" s="2328"/>
      <c r="S168" s="1852"/>
      <c r="T168" s="1852"/>
      <c r="U168" s="1236"/>
      <c r="V168" s="1852"/>
      <c r="W168" s="1852"/>
      <c r="X168" s="1852"/>
      <c r="Y168" s="1852"/>
      <c r="Z168" s="1852"/>
      <c r="AA168" s="2324"/>
      <c r="AB168" s="1258"/>
      <c r="AC168" s="1258"/>
      <c r="AD168" s="1258"/>
      <c r="AE168" s="1258"/>
      <c r="AF168" s="2333">
        <v>11</v>
      </c>
    </row>
    <row s="61193" customFormat="1" customHeight="1" ht="11.549999999999999">
      <c r="A169" s="1679"/>
      <c r="B169" s="2328"/>
      <c r="C169" s="2328"/>
      <c r="D169" s="1043"/>
      <c r="K169" s="1852"/>
      <c r="L169" s="2328"/>
      <c r="M169" s="2328"/>
      <c r="N169" s="1852"/>
      <c r="O169" s="1852"/>
      <c r="P169" s="1852"/>
      <c r="Q169" s="1852"/>
      <c r="R169" s="2328"/>
      <c r="S169" s="1852"/>
      <c r="T169" s="1852"/>
      <c r="U169" s="1236"/>
      <c r="V169" s="1852"/>
      <c r="W169" s="1852"/>
      <c r="X169" s="1852"/>
      <c r="Y169" s="1852"/>
      <c r="Z169" s="1852"/>
      <c r="AA169" s="2324"/>
      <c r="AB169" s="1258"/>
      <c r="AC169" s="1258"/>
      <c r="AD169" s="1258"/>
      <c r="AE169" s="1258"/>
      <c r="AF169" s="2333">
        <v>11</v>
      </c>
    </row>
    <row s="61193" customFormat="1" customHeight="1" ht="11.549999999999999">
      <c r="A170" s="1679"/>
      <c r="B170" s="2328"/>
      <c r="C170" s="2328"/>
      <c r="D170" s="1043"/>
      <c r="K170" s="1852"/>
      <c r="L170" s="2328"/>
      <c r="M170" s="2328"/>
      <c r="N170" s="1852"/>
      <c r="O170" s="1852"/>
      <c r="P170" s="1852"/>
      <c r="Q170" s="1852"/>
      <c r="R170" s="2328"/>
      <c r="S170" s="1852"/>
      <c r="T170" s="1852"/>
      <c r="U170" s="1236"/>
      <c r="V170" s="1852"/>
      <c r="W170" s="1852"/>
      <c r="X170" s="1852"/>
      <c r="Y170" s="1852"/>
      <c r="Z170" s="1852"/>
      <c r="AA170" s="2324"/>
      <c r="AB170" s="1258"/>
      <c r="AC170" s="1258"/>
      <c r="AD170" s="1258"/>
      <c r="AE170" s="1258"/>
      <c r="AF170" s="2333">
        <v>11</v>
      </c>
    </row>
    <row s="61193" customFormat="1" customHeight="1" ht="11.549999999999999">
      <c r="A171" s="1679"/>
      <c r="B171" s="2328"/>
      <c r="C171" s="2328"/>
      <c r="D171" s="1043"/>
      <c r="K171" s="1852"/>
      <c r="L171" s="2328"/>
      <c r="M171" s="2328"/>
      <c r="N171" s="1852"/>
      <c r="O171" s="1852"/>
      <c r="P171" s="1852"/>
      <c r="Q171" s="1852"/>
      <c r="R171" s="2328"/>
      <c r="S171" s="1852"/>
      <c r="T171" s="1852"/>
      <c r="U171" s="1236"/>
      <c r="V171" s="1852"/>
      <c r="W171" s="1852"/>
      <c r="X171" s="1852"/>
      <c r="Y171" s="1852"/>
      <c r="Z171" s="1852"/>
      <c r="AA171" s="2324"/>
      <c r="AB171" s="1258"/>
      <c r="AC171" s="1258"/>
      <c r="AD171" s="1258"/>
      <c r="AE171" s="1258"/>
      <c r="AF171" s="2333">
        <v>11</v>
      </c>
    </row>
    <row s="61193" customFormat="1" customHeight="1" ht="11.549999999999999">
      <c r="A172" s="1679"/>
      <c r="B172" s="2328"/>
      <c r="C172" s="2328"/>
      <c r="D172" s="1043"/>
      <c r="K172" s="1852"/>
      <c r="L172" s="2328"/>
      <c r="M172" s="2328"/>
      <c r="N172" s="1852"/>
      <c r="O172" s="1852"/>
      <c r="P172" s="1852"/>
      <c r="Q172" s="1852"/>
      <c r="R172" s="2328"/>
      <c r="S172" s="1852"/>
      <c r="T172" s="1852"/>
      <c r="U172" s="1236"/>
      <c r="V172" s="1852"/>
      <c r="W172" s="1852"/>
      <c r="X172" s="1852"/>
      <c r="Y172" s="1852"/>
      <c r="Z172" s="1852"/>
      <c r="AA172" s="2324"/>
      <c r="AB172" s="1258"/>
      <c r="AC172" s="1258"/>
      <c r="AD172" s="1258"/>
      <c r="AE172" s="1258"/>
      <c r="AF172" s="2333">
        <v>11</v>
      </c>
    </row>
    <row s="61193" customFormat="1" customHeight="1" ht="11.549999999999999">
      <c r="A173" s="1679"/>
      <c r="B173" s="2328"/>
      <c r="C173" s="2328"/>
      <c r="D173" s="1043"/>
      <c r="K173" s="1852"/>
      <c r="L173" s="2328"/>
      <c r="M173" s="2328"/>
      <c r="N173" s="1852"/>
      <c r="O173" s="1852"/>
      <c r="P173" s="1852"/>
      <c r="Q173" s="1852"/>
      <c r="R173" s="2328"/>
      <c r="S173" s="1852"/>
      <c r="T173" s="1852"/>
      <c r="U173" s="1236"/>
      <c r="V173" s="1852"/>
      <c r="W173" s="1852"/>
      <c r="X173" s="1852"/>
      <c r="Y173" s="1852"/>
      <c r="Z173" s="1852"/>
      <c r="AA173" s="2324"/>
      <c r="AB173" s="1258"/>
      <c r="AC173" s="1258"/>
      <c r="AD173" s="1258"/>
      <c r="AE173" s="1258"/>
      <c r="AF173" s="2333">
        <v>11</v>
      </c>
    </row>
    <row s="61193" customFormat="1" customHeight="1" ht="11.549999999999999">
      <c r="A174" s="1679"/>
      <c r="B174" s="2328"/>
      <c r="C174" s="2328"/>
      <c r="D174" s="1043"/>
      <c r="K174" s="1852"/>
      <c r="L174" s="2328"/>
      <c r="M174" s="2328"/>
      <c r="N174" s="1852"/>
      <c r="O174" s="1852"/>
      <c r="P174" s="1852"/>
      <c r="Q174" s="1852"/>
      <c r="R174" s="2328"/>
      <c r="S174" s="1852"/>
      <c r="T174" s="1852"/>
      <c r="U174" s="1236"/>
      <c r="V174" s="1852"/>
      <c r="W174" s="1852"/>
      <c r="X174" s="1852"/>
      <c r="Y174" s="1852"/>
      <c r="Z174" s="1852"/>
      <c r="AA174" s="2324"/>
      <c r="AB174" s="1258"/>
      <c r="AC174" s="1258"/>
      <c r="AD174" s="1258"/>
      <c r="AE174" s="1258"/>
      <c r="AF174" s="2333">
        <v>11</v>
      </c>
    </row>
    <row s="61193" customFormat="1" customHeight="1" ht="11.549999999999999">
      <c r="A175" s="1679"/>
      <c r="B175" s="2328"/>
      <c r="C175" s="2328"/>
      <c r="D175" s="1043"/>
      <c r="K175" s="1852"/>
      <c r="L175" s="2328"/>
      <c r="M175" s="2328"/>
      <c r="N175" s="1852"/>
      <c r="O175" s="1852"/>
      <c r="P175" s="1852"/>
      <c r="Q175" s="1852"/>
      <c r="R175" s="2328"/>
      <c r="S175" s="1852"/>
      <c r="T175" s="1852"/>
      <c r="U175" s="1236"/>
      <c r="V175" s="1852"/>
      <c r="W175" s="1852"/>
      <c r="X175" s="1852"/>
      <c r="Y175" s="1852"/>
      <c r="Z175" s="1852"/>
      <c r="AA175" s="2324"/>
      <c r="AB175" s="1258"/>
      <c r="AC175" s="1258"/>
      <c r="AD175" s="1258"/>
      <c r="AE175" s="1258"/>
      <c r="AF175" s="2333">
        <v>11</v>
      </c>
    </row>
    <row s="61193" customFormat="1" customHeight="1" ht="11.549999999999999">
      <c r="A176" s="1679"/>
      <c r="B176" s="2328"/>
      <c r="C176" s="2328"/>
      <c r="D176" s="1043"/>
      <c r="K176" s="1852"/>
      <c r="L176" s="2328"/>
      <c r="M176" s="2328"/>
      <c r="N176" s="1852"/>
      <c r="O176" s="1852"/>
      <c r="P176" s="1852"/>
      <c r="Q176" s="1852"/>
      <c r="R176" s="2328"/>
      <c r="S176" s="1852"/>
      <c r="T176" s="1852"/>
      <c r="U176" s="1236"/>
      <c r="V176" s="1852"/>
      <c r="W176" s="1852"/>
      <c r="X176" s="1852"/>
      <c r="Y176" s="1852"/>
      <c r="Z176" s="1852"/>
      <c r="AA176" s="2324"/>
      <c r="AB176" s="1258"/>
      <c r="AC176" s="1258"/>
      <c r="AD176" s="1258"/>
      <c r="AE176" s="1258"/>
      <c r="AF176" s="2333">
        <v>11</v>
      </c>
    </row>
    <row s="61193" customFormat="1" customHeight="1" ht="11.549999999999999">
      <c r="A177" s="1679"/>
      <c r="B177" s="2328"/>
      <c r="C177" s="2328"/>
      <c r="D177" s="1043"/>
      <c r="K177" s="1852"/>
      <c r="L177" s="2328"/>
      <c r="M177" s="2328"/>
      <c r="N177" s="1852"/>
      <c r="O177" s="1852"/>
      <c r="P177" s="1852"/>
      <c r="Q177" s="1852"/>
      <c r="R177" s="2328"/>
      <c r="S177" s="1852"/>
      <c r="T177" s="1852"/>
      <c r="U177" s="1236"/>
      <c r="V177" s="1852"/>
      <c r="W177" s="1852"/>
      <c r="X177" s="1852"/>
      <c r="Y177" s="1852"/>
      <c r="Z177" s="1852"/>
      <c r="AA177" s="2324"/>
      <c r="AB177" s="1258"/>
      <c r="AC177" s="1258"/>
      <c r="AD177" s="1258"/>
      <c r="AE177" s="1258"/>
      <c r="AF177" s="2333">
        <v>11</v>
      </c>
    </row>
    <row s="61193" customFormat="1" customHeight="1" ht="11.549999999999999">
      <c r="A178" s="1679"/>
      <c r="B178" s="2328"/>
      <c r="C178" s="2328"/>
      <c r="D178" s="1043"/>
      <c r="K178" s="1852"/>
      <c r="L178" s="2328"/>
      <c r="M178" s="2328"/>
      <c r="N178" s="1852"/>
      <c r="O178" s="1852"/>
      <c r="P178" s="1852"/>
      <c r="Q178" s="1852"/>
      <c r="R178" s="2328"/>
      <c r="S178" s="1852"/>
      <c r="T178" s="1852"/>
      <c r="U178" s="1236"/>
      <c r="V178" s="1852"/>
      <c r="W178" s="1852"/>
      <c r="X178" s="1852"/>
      <c r="Y178" s="1852"/>
      <c r="Z178" s="1852"/>
      <c r="AA178" s="2324"/>
      <c r="AB178" s="1258"/>
      <c r="AC178" s="1258"/>
      <c r="AD178" s="1258"/>
      <c r="AE178" s="1258"/>
      <c r="AF178" s="2333">
        <v>11</v>
      </c>
    </row>
    <row s="61193" customFormat="1" customHeight="1" ht="11.549999999999999">
      <c r="A179" s="1679"/>
      <c r="B179" s="2328"/>
      <c r="C179" s="2328"/>
      <c r="D179" s="1043"/>
      <c r="K179" s="1852"/>
      <c r="L179" s="2328"/>
      <c r="M179" s="2328"/>
      <c r="N179" s="1852"/>
      <c r="O179" s="1852"/>
      <c r="P179" s="1852"/>
      <c r="Q179" s="1852"/>
      <c r="R179" s="2328"/>
      <c r="S179" s="1852"/>
      <c r="T179" s="1852"/>
      <c r="U179" s="1236"/>
      <c r="V179" s="1852"/>
      <c r="W179" s="1852"/>
      <c r="X179" s="1852"/>
      <c r="Y179" s="1852"/>
      <c r="Z179" s="1852"/>
      <c r="AA179" s="2324"/>
      <c r="AB179" s="1258"/>
      <c r="AC179" s="1258"/>
      <c r="AD179" s="1258"/>
      <c r="AE179" s="1258"/>
      <c r="AF179" s="2333">
        <v>11</v>
      </c>
    </row>
    <row s="61193" customFormat="1" customHeight="1" ht="11.549999999999999">
      <c r="A180" s="1679"/>
      <c r="B180" s="2328"/>
      <c r="C180" s="2328"/>
      <c r="D180" s="1043"/>
      <c r="K180" s="1852"/>
      <c r="L180" s="2328"/>
      <c r="M180" s="2328"/>
      <c r="N180" s="1852"/>
      <c r="O180" s="1852"/>
      <c r="P180" s="1852"/>
      <c r="Q180" s="1852"/>
      <c r="R180" s="2328"/>
      <c r="S180" s="1852"/>
      <c r="T180" s="1852"/>
      <c r="U180" s="1236"/>
      <c r="V180" s="1852"/>
      <c r="W180" s="1852"/>
      <c r="X180" s="1852"/>
      <c r="Y180" s="1852"/>
      <c r="Z180" s="1852"/>
      <c r="AA180" s="2324"/>
      <c r="AB180" s="1258"/>
      <c r="AC180" s="1258"/>
      <c r="AD180" s="1258"/>
      <c r="AE180" s="1258"/>
      <c r="AF180" s="2333">
        <v>11</v>
      </c>
    </row>
    <row s="61193" customFormat="1" customHeight="1" ht="11.549999999999999">
      <c r="A181" s="1679"/>
      <c r="B181" s="2328"/>
      <c r="C181" s="2328"/>
      <c r="D181" s="1043"/>
      <c r="K181" s="1852"/>
      <c r="L181" s="2328"/>
      <c r="M181" s="2328"/>
      <c r="N181" s="1852"/>
      <c r="O181" s="1852"/>
      <c r="P181" s="1852"/>
      <c r="Q181" s="1852"/>
      <c r="R181" s="2328"/>
      <c r="S181" s="1852"/>
      <c r="T181" s="1852"/>
      <c r="U181" s="1236"/>
      <c r="V181" s="1852"/>
      <c r="W181" s="1852"/>
      <c r="X181" s="1852"/>
      <c r="Y181" s="1852"/>
      <c r="Z181" s="1852"/>
      <c r="AA181" s="2324"/>
      <c r="AB181" s="1258"/>
      <c r="AC181" s="1258"/>
      <c r="AD181" s="1258"/>
      <c r="AE181" s="1258"/>
      <c r="AF181" s="2333">
        <v>11</v>
      </c>
    </row>
    <row s="61193" customFormat="1" customHeight="1" ht="11.549999999999999">
      <c r="A182" s="1679"/>
      <c r="B182" s="2328"/>
      <c r="C182" s="2328"/>
      <c r="D182" s="1043"/>
      <c r="K182" s="1852"/>
      <c r="L182" s="2328"/>
      <c r="M182" s="2328"/>
      <c r="N182" s="1852"/>
      <c r="O182" s="1852"/>
      <c r="P182" s="1852"/>
      <c r="Q182" s="1852"/>
      <c r="R182" s="2328"/>
      <c r="S182" s="1852"/>
      <c r="T182" s="1852"/>
      <c r="U182" s="1236"/>
      <c r="V182" s="1852"/>
      <c r="W182" s="1852"/>
      <c r="X182" s="1852"/>
      <c r="Y182" s="1852"/>
      <c r="Z182" s="1852"/>
      <c r="AA182" s="2324"/>
      <c r="AB182" s="1258"/>
      <c r="AC182" s="1258"/>
      <c r="AD182" s="1258"/>
      <c r="AE182" s="1258"/>
      <c r="AF182" s="2333">
        <v>11</v>
      </c>
    </row>
    <row s="61193" customFormat="1" customHeight="1" ht="11.549999999999999">
      <c r="A183" s="1679"/>
      <c r="B183" s="2328"/>
      <c r="C183" s="2328"/>
      <c r="D183" s="1043"/>
      <c r="K183" s="1852"/>
      <c r="L183" s="2328"/>
      <c r="M183" s="2328"/>
      <c r="N183" s="1852"/>
      <c r="O183" s="1852"/>
      <c r="P183" s="1852"/>
      <c r="Q183" s="1852"/>
      <c r="R183" s="2328"/>
      <c r="S183" s="1852"/>
      <c r="T183" s="1852"/>
      <c r="U183" s="1236"/>
      <c r="V183" s="1852"/>
      <c r="W183" s="1852"/>
      <c r="X183" s="1852"/>
      <c r="Y183" s="1852"/>
      <c r="Z183" s="1852"/>
      <c r="AA183" s="2324"/>
      <c r="AB183" s="1258"/>
      <c r="AC183" s="1258"/>
      <c r="AD183" s="1258"/>
      <c r="AE183" s="1258"/>
      <c r="AF183" s="2333">
        <v>11</v>
      </c>
    </row>
    <row s="61193" customFormat="1" customHeight="1" ht="11.549999999999999">
      <c r="A184" s="1679"/>
      <c r="B184" s="2328"/>
      <c r="C184" s="2328"/>
      <c r="D184" s="1043"/>
      <c r="K184" s="1852"/>
      <c r="L184" s="2328"/>
      <c r="M184" s="2328"/>
      <c r="N184" s="1852"/>
      <c r="O184" s="1852"/>
      <c r="P184" s="1852"/>
      <c r="Q184" s="1852"/>
      <c r="R184" s="2328"/>
      <c r="S184" s="1852"/>
      <c r="T184" s="1852"/>
      <c r="U184" s="1236"/>
      <c r="V184" s="1852"/>
      <c r="W184" s="1852"/>
      <c r="X184" s="1852"/>
      <c r="Y184" s="1852"/>
      <c r="Z184" s="1852"/>
      <c r="AA184" s="2324"/>
      <c r="AB184" s="1258"/>
      <c r="AC184" s="1258"/>
      <c r="AD184" s="1258"/>
      <c r="AE184" s="1258"/>
      <c r="AF184" s="2333">
        <v>11</v>
      </c>
    </row>
    <row s="61193" customFormat="1" customHeight="1" ht="11.549999999999999">
      <c r="A185" s="1679"/>
      <c r="B185" s="2328"/>
      <c r="C185" s="2328"/>
      <c r="D185" s="1043"/>
      <c r="K185" s="1852"/>
      <c r="L185" s="2328"/>
      <c r="M185" s="2328"/>
      <c r="N185" s="1852"/>
      <c r="O185" s="1852"/>
      <c r="P185" s="1852"/>
      <c r="Q185" s="1852"/>
      <c r="R185" s="2328"/>
      <c r="S185" s="1852"/>
      <c r="T185" s="1852"/>
      <c r="U185" s="1236"/>
      <c r="V185" s="1852"/>
      <c r="W185" s="1852"/>
      <c r="X185" s="1852"/>
      <c r="Y185" s="1852"/>
      <c r="Z185" s="1852"/>
      <c r="AA185" s="2324"/>
      <c r="AB185" s="1258"/>
      <c r="AC185" s="1258"/>
      <c r="AD185" s="1258"/>
      <c r="AE185" s="1258"/>
      <c r="AF185" s="2333">
        <v>11</v>
      </c>
    </row>
    <row s="61193" customFormat="1" customHeight="1" ht="11.549999999999999">
      <c r="A186" s="1679"/>
      <c r="B186" s="2328"/>
      <c r="C186" s="2328"/>
      <c r="D186" s="1043"/>
      <c r="K186" s="1852"/>
      <c r="L186" s="2328"/>
      <c r="M186" s="2328"/>
      <c r="N186" s="1852"/>
      <c r="O186" s="1852"/>
      <c r="P186" s="1852"/>
      <c r="Q186" s="1852"/>
      <c r="R186" s="2328"/>
      <c r="S186" s="1852"/>
      <c r="T186" s="1852"/>
      <c r="U186" s="1236"/>
      <c r="V186" s="1852"/>
      <c r="W186" s="1852"/>
      <c r="X186" s="1852"/>
      <c r="Y186" s="1852"/>
      <c r="Z186" s="1852"/>
      <c r="AA186" s="2324"/>
      <c r="AB186" s="1258"/>
      <c r="AC186" s="1258"/>
      <c r="AD186" s="1258"/>
      <c r="AE186" s="1258"/>
      <c r="AF186" s="2333">
        <v>11</v>
      </c>
    </row>
    <row s="61193" customFormat="1" customHeight="1" ht="11.549999999999999">
      <c r="A187" s="1679"/>
      <c r="B187" s="2328"/>
      <c r="C187" s="2328"/>
      <c r="D187" s="1043"/>
      <c r="K187" s="1852"/>
      <c r="L187" s="2328"/>
      <c r="M187" s="2328"/>
      <c r="N187" s="1852"/>
      <c r="O187" s="1852"/>
      <c r="P187" s="1852"/>
      <c r="Q187" s="1852"/>
      <c r="R187" s="2328"/>
      <c r="S187" s="1852"/>
      <c r="T187" s="1852"/>
      <c r="U187" s="1236"/>
      <c r="V187" s="1852"/>
      <c r="W187" s="1852"/>
      <c r="X187" s="1852"/>
      <c r="Y187" s="1852"/>
      <c r="Z187" s="1852"/>
      <c r="AA187" s="2324"/>
      <c r="AB187" s="1258"/>
      <c r="AC187" s="1258"/>
      <c r="AD187" s="1258"/>
      <c r="AE187" s="1258"/>
      <c r="AF187" s="2333">
        <v>11</v>
      </c>
    </row>
    <row s="61193" customFormat="1" customHeight="1" ht="11.549999999999999">
      <c r="A188" s="1679"/>
      <c r="B188" s="2328"/>
      <c r="C188" s="2328"/>
      <c r="D188" s="1043"/>
      <c r="K188" s="1852"/>
      <c r="L188" s="2328"/>
      <c r="M188" s="2328"/>
      <c r="N188" s="1852"/>
      <c r="O188" s="1852"/>
      <c r="P188" s="1852"/>
      <c r="Q188" s="1852"/>
      <c r="R188" s="2328"/>
      <c r="S188" s="1852"/>
      <c r="T188" s="1852"/>
      <c r="U188" s="1236"/>
      <c r="V188" s="1852"/>
      <c r="W188" s="1852"/>
      <c r="X188" s="1852"/>
      <c r="Y188" s="1852"/>
      <c r="Z188" s="1852"/>
      <c r="AA188" s="2324"/>
      <c r="AB188" s="1258"/>
      <c r="AC188" s="1258"/>
      <c r="AD188" s="1258"/>
      <c r="AE188" s="1258"/>
      <c r="AF188" s="2333">
        <v>11</v>
      </c>
    </row>
    <row s="61193" customFormat="1" customHeight="1" ht="11.549999999999999">
      <c r="A189" s="1679"/>
      <c r="B189" s="2328"/>
      <c r="C189" s="2328"/>
      <c r="D189" s="1043"/>
      <c r="K189" s="1852"/>
      <c r="L189" s="2328"/>
      <c r="M189" s="2328"/>
      <c r="N189" s="1852"/>
      <c r="O189" s="1852"/>
      <c r="P189" s="1852"/>
      <c r="Q189" s="1852"/>
      <c r="R189" s="2328"/>
      <c r="S189" s="1852"/>
      <c r="T189" s="1852"/>
      <c r="U189" s="1236"/>
      <c r="V189" s="1852"/>
      <c r="W189" s="1852"/>
      <c r="X189" s="1852"/>
      <c r="Y189" s="1852"/>
      <c r="Z189" s="1852"/>
      <c r="AA189" s="2324"/>
      <c r="AB189" s="1258"/>
      <c r="AC189" s="1258"/>
      <c r="AD189" s="1258"/>
      <c r="AE189" s="1258"/>
      <c r="AF189" s="2333">
        <v>11</v>
      </c>
    </row>
    <row s="61193" customFormat="1" customHeight="1" ht="11.549999999999999">
      <c r="A190" s="1679"/>
      <c r="B190" s="2328"/>
      <c r="C190" s="2328"/>
      <c r="D190" s="1043"/>
      <c r="K190" s="1852"/>
      <c r="L190" s="2328"/>
      <c r="M190" s="2328"/>
      <c r="N190" s="1852"/>
      <c r="O190" s="1852"/>
      <c r="P190" s="1852"/>
      <c r="Q190" s="1852"/>
      <c r="R190" s="2328"/>
      <c r="S190" s="1852"/>
      <c r="T190" s="1852"/>
      <c r="U190" s="1236"/>
      <c r="V190" s="1852"/>
      <c r="W190" s="1852"/>
      <c r="X190" s="1852"/>
      <c r="Y190" s="1852"/>
      <c r="Z190" s="1852"/>
      <c r="AA190" s="2324"/>
      <c r="AB190" s="1258"/>
      <c r="AC190" s="1258"/>
      <c r="AD190" s="1258"/>
      <c r="AE190" s="1258"/>
      <c r="AF190" s="2333">
        <v>11</v>
      </c>
    </row>
    <row s="61193" customFormat="1" customHeight="1" ht="11.549999999999999">
      <c r="A191" s="1679"/>
      <c r="B191" s="2328"/>
      <c r="C191" s="2328"/>
      <c r="D191" s="1043"/>
      <c r="K191" s="1852"/>
      <c r="L191" s="2328"/>
      <c r="M191" s="2328"/>
      <c r="N191" s="1852"/>
      <c r="O191" s="1852"/>
      <c r="P191" s="1852"/>
      <c r="Q191" s="1852"/>
      <c r="R191" s="2328"/>
      <c r="S191" s="1852"/>
      <c r="T191" s="1852"/>
      <c r="U191" s="1236"/>
      <c r="V191" s="1852"/>
      <c r="W191" s="1852"/>
      <c r="X191" s="1852"/>
      <c r="Y191" s="1852"/>
      <c r="Z191" s="1852"/>
      <c r="AA191" s="2324"/>
      <c r="AB191" s="1258"/>
      <c r="AC191" s="1258"/>
      <c r="AD191" s="1258"/>
      <c r="AE191" s="1258"/>
      <c r="AF191" s="2333">
        <v>11</v>
      </c>
    </row>
    <row s="61193" customFormat="1" customHeight="1" ht="11.549999999999999">
      <c r="A192" s="1679"/>
      <c r="B192" s="2328"/>
      <c r="C192" s="2328"/>
      <c r="D192" s="1043"/>
      <c r="K192" s="1852"/>
      <c r="L192" s="2328"/>
      <c r="M192" s="2328"/>
      <c r="N192" s="1852"/>
      <c r="O192" s="1852"/>
      <c r="P192" s="1852"/>
      <c r="Q192" s="1852"/>
      <c r="R192" s="2328"/>
      <c r="S192" s="1852"/>
      <c r="T192" s="1852"/>
      <c r="U192" s="1236"/>
      <c r="V192" s="1852"/>
      <c r="W192" s="1852"/>
      <c r="X192" s="1852"/>
      <c r="Y192" s="1852"/>
      <c r="Z192" s="1852"/>
      <c r="AA192" s="2324"/>
      <c r="AB192" s="1258"/>
      <c r="AC192" s="1258"/>
      <c r="AD192" s="1258"/>
      <c r="AE192" s="1258"/>
      <c r="AF192" s="2333">
        <v>11</v>
      </c>
    </row>
    <row s="61193" customFormat="1" customHeight="1" ht="11.549999999999999">
      <c r="A193" s="1679"/>
      <c r="B193" s="2328"/>
      <c r="C193" s="2328"/>
      <c r="D193" s="1043"/>
      <c r="K193" s="1852"/>
      <c r="L193" s="2328"/>
      <c r="M193" s="2328"/>
      <c r="N193" s="1852"/>
      <c r="O193" s="1852"/>
      <c r="P193" s="1852"/>
      <c r="Q193" s="1852"/>
      <c r="R193" s="2328"/>
      <c r="S193" s="1852"/>
      <c r="T193" s="1852"/>
      <c r="U193" s="1236"/>
      <c r="V193" s="1852"/>
      <c r="W193" s="1852"/>
      <c r="X193" s="1852"/>
      <c r="Y193" s="1852"/>
      <c r="Z193" s="1852"/>
      <c r="AA193" s="2324"/>
      <c r="AB193" s="1258"/>
      <c r="AC193" s="1258"/>
      <c r="AD193" s="1258"/>
      <c r="AE193" s="1258"/>
      <c r="AF193" s="2333">
        <v>11</v>
      </c>
    </row>
    <row s="61193" customFormat="1" customHeight="1" ht="11.549999999999999">
      <c r="A194" s="1679"/>
      <c r="B194" s="2328"/>
      <c r="C194" s="2328"/>
      <c r="D194" s="1043"/>
      <c r="K194" s="1852"/>
      <c r="L194" s="2328"/>
      <c r="M194" s="2328"/>
      <c r="N194" s="1852"/>
      <c r="O194" s="1852"/>
      <c r="P194" s="1852"/>
      <c r="Q194" s="1852"/>
      <c r="R194" s="2328"/>
      <c r="S194" s="1852"/>
      <c r="T194" s="1852"/>
      <c r="U194" s="1236"/>
      <c r="V194" s="1852"/>
      <c r="W194" s="1852"/>
      <c r="X194" s="1852"/>
      <c r="Y194" s="1852"/>
      <c r="Z194" s="1852"/>
      <c r="AA194" s="2324"/>
      <c r="AB194" s="1258"/>
      <c r="AC194" s="1258"/>
      <c r="AD194" s="1258"/>
      <c r="AE194" s="1258"/>
      <c r="AF194" s="2333">
        <v>11</v>
      </c>
    </row>
    <row s="61193" customFormat="1" customHeight="1" ht="11.549999999999999">
      <c r="A195" s="1679"/>
      <c r="B195" s="2328"/>
      <c r="C195" s="2328"/>
      <c r="D195" s="1043"/>
      <c r="K195" s="1852"/>
      <c r="L195" s="2328"/>
      <c r="M195" s="2328"/>
      <c r="N195" s="1852"/>
      <c r="O195" s="1852"/>
      <c r="P195" s="1852"/>
      <c r="Q195" s="1852"/>
      <c r="R195" s="2328"/>
      <c r="S195" s="1852"/>
      <c r="T195" s="1852"/>
      <c r="U195" s="1236"/>
      <c r="V195" s="1852"/>
      <c r="W195" s="1852"/>
      <c r="X195" s="1852"/>
      <c r="Y195" s="1852"/>
      <c r="Z195" s="1852"/>
      <c r="AA195" s="2324"/>
      <c r="AB195" s="1258"/>
      <c r="AC195" s="1258"/>
      <c r="AD195" s="1258"/>
      <c r="AE195" s="1258"/>
      <c r="AF195" s="2333">
        <v>11</v>
      </c>
    </row>
    <row customHeight="1" ht="11.549999999999999">
      <c r="AF196" s="2323">
        <v>11</v>
      </c>
    </row>
    <row customHeight="1" ht="11.549999999999999">
      <c r="AF197" s="2323">
        <v>11</v>
      </c>
    </row>
    <row customHeight="1" ht="11.549999999999999">
      <c r="AF198" s="2323">
        <v>11</v>
      </c>
    </row>
    <row customHeight="1" ht="11.549999999999999">
      <c r="A199" s="1682"/>
      <c r="B199" s="2323"/>
      <c r="D199" s="2323"/>
      <c r="K199" s="2323"/>
      <c r="N199" s="2323"/>
      <c r="O199" s="2323"/>
      <c r="P199" s="2323"/>
      <c r="Q199" s="2323"/>
      <c r="S199" s="2323"/>
      <c r="T199" s="2323"/>
      <c r="U199" s="2323"/>
      <c r="V199" s="2323"/>
      <c r="W199" s="2323"/>
      <c r="X199" s="2323"/>
      <c r="Y199" s="2323"/>
      <c r="Z199" s="2323"/>
      <c r="AA199" s="2323"/>
      <c r="AB199" s="2323"/>
      <c r="AC199" s="2323"/>
      <c r="AD199" s="2323"/>
      <c r="AE199" s="2323"/>
      <c r="AF199" s="2323">
        <v>11</v>
      </c>
    </row>
    <row customHeight="1" ht="11.549999999999999">
      <c r="A200" s="1682"/>
      <c r="B200" s="2323"/>
      <c r="D200" s="2323"/>
      <c r="K200" s="2323"/>
      <c r="N200" s="2323"/>
      <c r="O200" s="2323"/>
      <c r="P200" s="2323"/>
      <c r="Q200" s="2323"/>
      <c r="S200" s="2323"/>
      <c r="T200" s="2323"/>
      <c r="U200" s="2323"/>
      <c r="V200" s="2323"/>
      <c r="W200" s="2323"/>
      <c r="X200" s="2323"/>
      <c r="Y200" s="2323"/>
      <c r="Z200" s="2323"/>
      <c r="AA200" s="2323"/>
      <c r="AB200" s="2323"/>
      <c r="AC200" s="2323"/>
      <c r="AD200" s="2323"/>
      <c r="AE200" s="2323"/>
      <c r="AF200" s="2323">
        <v>11</v>
      </c>
    </row>
    <row customHeight="1" ht="11.549999999999999">
      <c r="A201" s="1682"/>
      <c r="B201" s="2323"/>
      <c r="D201" s="2323"/>
      <c r="K201" s="2323"/>
      <c r="N201" s="2323"/>
      <c r="O201" s="2323"/>
      <c r="P201" s="2323"/>
      <c r="Q201" s="2323"/>
      <c r="S201" s="2323"/>
      <c r="T201" s="2323"/>
      <c r="U201" s="2323"/>
      <c r="V201" s="2323"/>
      <c r="W201" s="2323"/>
      <c r="X201" s="2323"/>
      <c r="Y201" s="2323"/>
      <c r="Z201" s="2323"/>
      <c r="AA201" s="2323"/>
      <c r="AB201" s="2323"/>
      <c r="AC201" s="2323"/>
      <c r="AD201" s="2323"/>
      <c r="AE201" s="2323"/>
      <c r="AF201" s="2323">
        <v>11</v>
      </c>
    </row>
    <row customHeight="1" ht="11.549999999999999">
      <c r="A202" s="1682"/>
      <c r="B202" s="2323"/>
      <c r="D202" s="2323"/>
      <c r="K202" s="2323"/>
      <c r="N202" s="2323"/>
      <c r="O202" s="2323"/>
      <c r="P202" s="2323"/>
      <c r="Q202" s="2323"/>
      <c r="S202" s="2323"/>
      <c r="T202" s="2323"/>
      <c r="U202" s="2323"/>
      <c r="V202" s="2323"/>
      <c r="W202" s="2323"/>
      <c r="X202" s="2323"/>
      <c r="Y202" s="2323"/>
      <c r="Z202" s="2323"/>
      <c r="AA202" s="2323"/>
      <c r="AB202" s="2323"/>
      <c r="AC202" s="2323"/>
      <c r="AD202" s="2323"/>
      <c r="AE202" s="2323"/>
      <c r="AF202" s="2323">
        <v>11</v>
      </c>
    </row>
    <row customHeight="1" ht="11.549999999999999">
      <c r="A203" s="1682"/>
      <c r="B203" s="2323"/>
      <c r="D203" s="2323"/>
      <c r="K203" s="2323"/>
      <c r="N203" s="2323"/>
      <c r="O203" s="2323"/>
      <c r="P203" s="2323"/>
      <c r="Q203" s="2323"/>
      <c r="S203" s="2323"/>
      <c r="T203" s="2323"/>
      <c r="U203" s="2323"/>
      <c r="V203" s="2323"/>
      <c r="W203" s="2323"/>
      <c r="X203" s="2323"/>
      <c r="Y203" s="2323"/>
      <c r="Z203" s="2323"/>
      <c r="AA203" s="2323"/>
      <c r="AB203" s="2323"/>
      <c r="AC203" s="2323"/>
      <c r="AD203" s="2323"/>
      <c r="AE203" s="2323"/>
      <c r="AF203" s="2323">
        <v>11</v>
      </c>
    </row>
    <row customHeight="1" ht="11.549999999999999">
      <c r="A204" s="1682"/>
      <c r="B204" s="2323"/>
      <c r="D204" s="2323"/>
      <c r="K204" s="2323"/>
      <c r="N204" s="2323"/>
      <c r="O204" s="2323"/>
      <c r="P204" s="2323"/>
      <c r="Q204" s="2323"/>
      <c r="S204" s="2323"/>
      <c r="T204" s="2323"/>
      <c r="U204" s="2323"/>
      <c r="V204" s="2323"/>
      <c r="W204" s="2323"/>
      <c r="X204" s="2323"/>
      <c r="Y204" s="2323"/>
      <c r="Z204" s="2323"/>
      <c r="AA204" s="2323"/>
      <c r="AB204" s="2323"/>
      <c r="AC204" s="2323"/>
      <c r="AD204" s="2323"/>
      <c r="AE204" s="2323"/>
      <c r="AF204" s="2323">
        <v>11</v>
      </c>
    </row>
    <row customHeight="1" ht="11.549999999999999">
      <c r="A205" s="1682"/>
      <c r="B205" s="2323"/>
      <c r="D205" s="2323"/>
      <c r="K205" s="2323"/>
      <c r="N205" s="2323"/>
      <c r="O205" s="2323"/>
      <c r="P205" s="2323"/>
      <c r="Q205" s="2323"/>
      <c r="S205" s="2323"/>
      <c r="T205" s="2323"/>
      <c r="U205" s="2323"/>
      <c r="V205" s="2323"/>
      <c r="W205" s="2323"/>
      <c r="X205" s="2323"/>
      <c r="Y205" s="2323"/>
      <c r="Z205" s="2323"/>
      <c r="AA205" s="2323"/>
      <c r="AB205" s="2323"/>
      <c r="AC205" s="2323"/>
      <c r="AD205" s="2323"/>
      <c r="AE205" s="2323"/>
      <c r="AF205" s="2323">
        <v>11</v>
      </c>
    </row>
    <row customHeight="1" ht="11.549999999999999">
      <c r="A206" s="1682"/>
      <c r="B206" s="2323"/>
      <c r="D206" s="2323"/>
      <c r="K206" s="2323"/>
      <c r="N206" s="2323"/>
      <c r="O206" s="2323"/>
      <c r="P206" s="2323"/>
      <c r="Q206" s="2323"/>
      <c r="S206" s="2323"/>
      <c r="T206" s="2323"/>
      <c r="U206" s="2323"/>
      <c r="V206" s="2323"/>
      <c r="W206" s="2323"/>
      <c r="X206" s="2323"/>
      <c r="Y206" s="2323"/>
      <c r="Z206" s="2323"/>
      <c r="AA206" s="2323"/>
      <c r="AB206" s="2323"/>
      <c r="AC206" s="2323"/>
      <c r="AD206" s="2323"/>
      <c r="AE206" s="2323"/>
      <c r="AF206" s="2323">
        <v>11</v>
      </c>
    </row>
    <row customHeight="1" ht="11.549999999999999">
      <c r="A207" s="1682"/>
      <c r="B207" s="2323"/>
      <c r="D207" s="2323"/>
      <c r="K207" s="2323"/>
      <c r="N207" s="2323"/>
      <c r="O207" s="2323"/>
      <c r="P207" s="2323"/>
      <c r="Q207" s="2323"/>
      <c r="S207" s="2323"/>
      <c r="T207" s="2323"/>
      <c r="U207" s="2323"/>
      <c r="V207" s="2323"/>
      <c r="W207" s="2323"/>
      <c r="X207" s="2323"/>
      <c r="Y207" s="2323"/>
      <c r="Z207" s="2323"/>
      <c r="AA207" s="2323"/>
      <c r="AB207" s="2323"/>
      <c r="AC207" s="2323"/>
      <c r="AD207" s="2323"/>
      <c r="AE207" s="2323"/>
      <c r="AF207" s="2323">
        <v>11</v>
      </c>
    </row>
    <row customHeight="1" ht="11.549999999999999">
      <c r="A208" s="1682"/>
      <c r="B208" s="2323"/>
      <c r="D208" s="2323"/>
      <c r="K208" s="2323"/>
      <c r="N208" s="2323"/>
      <c r="O208" s="2323"/>
      <c r="P208" s="2323"/>
      <c r="Q208" s="2323"/>
      <c r="S208" s="2323"/>
      <c r="T208" s="2323"/>
      <c r="U208" s="2323"/>
      <c r="V208" s="2323"/>
      <c r="W208" s="2323"/>
      <c r="X208" s="2323"/>
      <c r="Y208" s="2323"/>
      <c r="Z208" s="2323"/>
      <c r="AA208" s="2323"/>
      <c r="AB208" s="2323"/>
      <c r="AC208" s="2323"/>
      <c r="AD208" s="2323"/>
      <c r="AE208" s="2323"/>
      <c r="AF208" s="2323">
        <v>11</v>
      </c>
    </row>
    <row customHeight="1" ht="11.549999999999999">
      <c r="A209" s="1682"/>
      <c r="B209" s="2323"/>
      <c r="D209" s="2323"/>
      <c r="K209" s="2323"/>
      <c r="N209" s="2323"/>
      <c r="O209" s="2323"/>
      <c r="P209" s="2323"/>
      <c r="Q209" s="2323"/>
      <c r="S209" s="2323"/>
      <c r="T209" s="2323"/>
      <c r="U209" s="2323"/>
      <c r="V209" s="2323"/>
      <c r="W209" s="2323"/>
      <c r="X209" s="2323"/>
      <c r="Y209" s="2323"/>
      <c r="Z209" s="2323"/>
      <c r="AA209" s="2323"/>
      <c r="AB209" s="2323"/>
      <c r="AC209" s="2323"/>
      <c r="AD209" s="2323"/>
      <c r="AE209" s="2323"/>
      <c r="AF209" s="2323">
        <v>11</v>
      </c>
    </row>
    <row customHeight="1" ht="11.25" hidden="1">
      <c r="A210" s="1679" t="s">
        <v>83</v>
      </c>
      <c r="B210" s="1852">
        <v>0</v>
      </c>
      <c r="C210" s="2328">
        <v>0</v>
      </c>
      <c r="D210" s="2327">
        <v>3</v>
      </c>
      <c r="E210" s="2323">
        <v>7</v>
      </c>
      <c r="F210" s="2323">
        <v>54</v>
      </c>
      <c r="G210" s="2323">
        <v>10</v>
      </c>
      <c r="H210" s="2323">
        <v>0</v>
      </c>
      <c r="I210" s="2323">
        <v>40</v>
      </c>
      <c r="J210" s="2323">
        <v>102</v>
      </c>
      <c r="K210" s="1852">
        <v>9</v>
      </c>
      <c r="L210" s="2328">
        <v>5</v>
      </c>
      <c r="M210" s="2328">
        <v>3</v>
      </c>
      <c r="N210" s="1852">
        <v>3</v>
      </c>
      <c r="O210" s="1852">
        <v>3</v>
      </c>
      <c r="P210" s="1852">
        <v>3</v>
      </c>
      <c r="Q210" s="1852">
        <v>3</v>
      </c>
      <c r="R210" s="2328">
        <v>10</v>
      </c>
      <c r="S210" s="1852">
        <v>34</v>
      </c>
      <c r="T210" s="1852">
        <v>9</v>
      </c>
      <c r="U210" s="1236">
        <v>8</v>
      </c>
      <c r="V210" s="1852">
        <v>8</v>
      </c>
      <c r="W210" s="1852">
        <v>8</v>
      </c>
      <c r="X210" s="1852">
        <v>8</v>
      </c>
      <c r="Y210" s="1852">
        <v>8</v>
      </c>
      <c r="Z210" s="1852">
        <v>8</v>
      </c>
      <c r="AA210" s="2324">
        <v>8</v>
      </c>
      <c r="AB210" s="2324">
        <v>8</v>
      </c>
      <c r="AC210" s="2324">
        <v>8</v>
      </c>
      <c r="AD210" s="2324">
        <v>8</v>
      </c>
      <c r="AE210" s="2324">
        <v>8</v>
      </c>
      <c r="AF210" s="2323">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2A7EEC-90ED-E51E-3F3F-66A89D4F9E38}"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61934" width="9.140625" hidden="1" customWidth="1"/>
    <col min="2" max="2" style="61695" width="3.57421875" hidden="1" customWidth="1"/>
    <col min="3" max="3" style="62286" width="3.00390625" customWidth="1"/>
    <col min="4" max="4" style="62286" width="7.00390625" customWidth="1"/>
    <col min="5" max="5" style="62286" width="69.00390625" customWidth="1"/>
    <col min="6" max="6" style="62286" width="10.00390625" customWidth="1"/>
    <col min="7" max="8" style="62286" width="44.00390625" hidden="1" customWidth="1"/>
    <col min="9" max="9" style="62286" width="44.00390625" customWidth="1"/>
    <col min="10" max="10" style="62286" width="43.00390625" customWidth="1"/>
    <col min="11" max="11" style="62286" width="73.00390625" customWidth="1"/>
    <col min="12" max="12" style="62286" width="3.00390625" customWidth="1"/>
    <col min="13" max="23" style="62286" width="10.00390625" customWidth="1"/>
    <col min="24" max="24" style="62286" width="10.57421875" hidden="1"/>
  </cols>
  <sheetData>
    <row s="62148" customFormat="1" customHeight="1" ht="22.5" hidden="1">
      <c r="A1" s="1228"/>
      <c r="B1" s="1203"/>
      <c r="G1" s="1109">
        <v>4</v>
      </c>
      <c r="I1" s="1109">
        <v>4</v>
      </c>
      <c r="K1" s="1109">
        <v>5</v>
      </c>
      <c r="X1" s="1109" t="s">
        <v>14</v>
      </c>
    </row>
    <row customHeight="1" ht="3">
      <c r="X2" s="1197">
        <v>3</v>
      </c>
    </row>
    <row customHeight="1" ht="78.75">
      <c r="D3" s="293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931"/>
      <c r="F3" s="2932"/>
      <c r="X3" s="1197">
        <v>75</v>
      </c>
    </row>
    <row s="62286" customFormat="1" customHeight="1" ht="21">
      <c r="A4" s="1643"/>
      <c r="B4" s="1203"/>
      <c r="D4" s="2906" t="str">
        <f>IF(org=0,"Не определено",org)</f>
        <v>АО "ДГК"</v>
      </c>
      <c r="E4" s="2907"/>
      <c r="F4" s="2908"/>
      <c r="X4" s="1450">
        <v>20</v>
      </c>
    </row>
    <row customHeight="1" ht="11.549999999999999">
      <c r="C5" s="1201"/>
      <c r="D5" s="1280"/>
      <c r="E5" s="1280"/>
      <c r="F5" s="1280"/>
      <c r="G5" s="1280"/>
      <c r="H5" s="1444"/>
      <c r="I5" s="1280"/>
      <c r="J5" s="1444"/>
      <c r="K5" s="1280"/>
      <c r="X5" s="1197">
        <v>11</v>
      </c>
    </row>
    <row customHeight="1" ht="1.05">
      <c r="C6" s="1201"/>
      <c r="D6" s="1201"/>
      <c r="E6" s="1214"/>
      <c r="F6" s="1306"/>
      <c r="G6" s="1714"/>
      <c r="H6" s="1714"/>
      <c r="I6" s="1714" t="s">
        <v>125</v>
      </c>
      <c r="J6" s="1714"/>
      <c r="X6" s="1197">
        <v>1</v>
      </c>
    </row>
    <row customHeight="1" ht="11.549999999999999">
      <c r="D7" s="1403"/>
      <c r="E7" s="3059" t="s">
        <v>114</v>
      </c>
      <c r="F7" s="3060"/>
      <c r="G7" s="3085" t="str">
        <f>IF(G6="","",INDEX(DIFFERENTIATION_UNMERGE_VD,MATCH(G6,DIFFERENTIATION_ID_DIFF,0)))</f>
        <v/>
      </c>
      <c r="H7" s="3086"/>
      <c r="I7" s="3085">
        <f>IF(I6="","",INDEX(DIFFERENTIATION_UNMERGE_VD,MATCH(I6,DIFFERENTIATION_ID_DIFF,0)))</f>
        <v>0</v>
      </c>
      <c r="J7" s="3086"/>
      <c r="K7" s="2867"/>
      <c r="L7" s="1201"/>
      <c r="X7" s="1197">
        <v>11</v>
      </c>
    </row>
    <row customHeight="1" ht="11.549999999999999">
      <c r="A8" s="1396"/>
      <c r="D8" s="1403"/>
      <c r="E8" s="3059" t="s">
        <v>638</v>
      </c>
      <c r="F8" s="3060"/>
      <c r="G8" s="3085" t="str">
        <f>IF(G6="","",INDEX(DIFFERENTIATION_UNMERGE_AREA,MATCH(G6,DIFFERENTIATION_ID_DIFF,0)))</f>
        <v/>
      </c>
      <c r="H8" s="3086"/>
      <c r="I8" s="3085" t="str">
        <f>IF(I6="","",INDEX(DIFFERENTIATION_UNMERGE_AREA,MATCH(I6,DIFFERENTIATION_ID_DIFF,0)))</f>
        <v/>
      </c>
      <c r="J8" s="3086"/>
      <c r="K8" s="2891"/>
      <c r="L8" s="1201"/>
      <c r="X8" s="1197">
        <v>11</v>
      </c>
    </row>
    <row customHeight="1" ht="11.549999999999999">
      <c r="A9" s="1396"/>
      <c r="D9" s="1403"/>
      <c r="E9" s="3059" t="s">
        <v>639</v>
      </c>
      <c r="F9" s="3060"/>
      <c r="G9" s="3085" t="str">
        <f>IF(G6="","",INDEX(DIFFERENTIATION_UNMERGE_SYSTEM,MATCH(G6,DIFFERENTIATION_ID_DIFF,0)))</f>
        <v/>
      </c>
      <c r="H9" s="3086"/>
      <c r="I9" s="3085" t="str">
        <f>IF(I6="","",INDEX(DIFFERENTIATION_UNMERGE_SYSTEM,MATCH(I6,DIFFERENTIATION_ID_DIFF,0)))</f>
        <v>без дифференциации</v>
      </c>
      <c r="J9" s="3086"/>
      <c r="K9" s="2891"/>
      <c r="L9" s="1201"/>
      <c r="X9" s="1197">
        <v>11</v>
      </c>
    </row>
    <row s="62286" customFormat="1" customHeight="1" ht="11.549999999999999">
      <c r="A10" s="1713"/>
      <c r="B10" s="1203"/>
      <c r="D10" s="2793" t="s">
        <v>375</v>
      </c>
      <c r="E10" s="2794"/>
      <c r="F10" s="2794"/>
      <c r="G10" s="2794"/>
      <c r="H10" s="2794"/>
      <c r="I10" s="2794"/>
      <c r="J10" s="2795"/>
      <c r="K10" s="2891"/>
      <c r="L10" s="1201"/>
      <c r="X10" s="1450">
        <v>11</v>
      </c>
    </row>
    <row s="62286" customFormat="1" customHeight="1" ht="24">
      <c r="A11" s="3077"/>
      <c r="B11" s="3077"/>
      <c r="C11" s="1349"/>
      <c r="D11" s="1395" t="s">
        <v>89</v>
      </c>
      <c r="E11" s="1397" t="s">
        <v>880</v>
      </c>
      <c r="F11" s="1397" t="s">
        <v>640</v>
      </c>
      <c r="G11" s="1157" t="s">
        <v>378</v>
      </c>
      <c r="H11" s="1157" t="s">
        <v>465</v>
      </c>
      <c r="I11" s="1499" t="s">
        <v>378</v>
      </c>
      <c r="J11" s="1500" t="s">
        <v>465</v>
      </c>
      <c r="K11" s="2924"/>
      <c r="L11" s="1350"/>
      <c r="X11" s="1201">
        <v>23</v>
      </c>
    </row>
    <row s="61695" customFormat="1" customHeight="1" ht="10.5">
      <c r="A12" s="1644"/>
      <c r="D12" s="1717" t="s">
        <v>118</v>
      </c>
      <c r="E12" s="1717" t="s">
        <v>103</v>
      </c>
      <c r="F12" s="1717" t="s">
        <v>91</v>
      </c>
      <c r="G12" s="1718" t="str">
        <f>G1&amp;".1"</f>
        <v>4.1</v>
      </c>
      <c r="H12" s="1718" t="str">
        <f>G1&amp;".2"</f>
        <v>4.2</v>
      </c>
      <c r="I12" s="1718" t="str">
        <f>I1&amp;".1"</f>
        <v>4.1</v>
      </c>
      <c r="J12" s="1718" t="str">
        <f>I1&amp;".2"</f>
        <v>4.2</v>
      </c>
      <c r="K12" s="1718"/>
      <c r="X12" s="1203">
        <v>10</v>
      </c>
    </row>
    <row customHeight="1" ht="22.5">
      <c r="A13" s="3084" t="s">
        <v>881</v>
      </c>
      <c r="D13" s="1645" t="s">
        <v>118</v>
      </c>
      <c r="E13" s="971" t="s">
        <v>882</v>
      </c>
      <c r="F13" s="1352" t="s">
        <v>883</v>
      </c>
      <c r="G13" s="1249"/>
      <c r="H13" s="1353"/>
      <c r="I13" s="1249"/>
      <c r="J13" s="1353"/>
      <c r="K13" s="981" t="s">
        <v>884</v>
      </c>
      <c r="L13" s="1412"/>
      <c r="X13" s="1197">
        <v>0</v>
      </c>
    </row>
    <row customHeight="1" ht="22.5">
      <c r="A14" s="3084"/>
      <c r="D14" s="1231" t="s">
        <v>103</v>
      </c>
      <c r="E14" s="971" t="s">
        <v>885</v>
      </c>
      <c r="F14" s="1352" t="s">
        <v>886</v>
      </c>
      <c r="G14" s="1249"/>
      <c r="H14" s="1354"/>
      <c r="I14" s="1249"/>
      <c r="J14" s="1354"/>
      <c r="K14" s="981" t="s">
        <v>887</v>
      </c>
      <c r="L14" s="1412"/>
      <c r="X14" s="1197">
        <v>0</v>
      </c>
    </row>
    <row s="62286" customFormat="1" customHeight="1" ht="78.75">
      <c r="A15" s="3084"/>
      <c r="B15" s="1203"/>
      <c r="D15" s="1645" t="s">
        <v>91</v>
      </c>
      <c r="E15" s="1399" t="s">
        <v>888</v>
      </c>
      <c r="F15" s="1642" t="s">
        <v>381</v>
      </c>
      <c r="G15" s="1642" t="s">
        <v>381</v>
      </c>
      <c r="H15" s="798"/>
      <c r="I15" s="1642" t="s">
        <v>381</v>
      </c>
      <c r="J15" s="798"/>
      <c r="K15" s="981" t="s">
        <v>889</v>
      </c>
      <c r="L15" s="1412"/>
      <c r="X15" s="1450">
        <v>0</v>
      </c>
    </row>
    <row s="62286" customFormat="1" customHeight="1" ht="22.5">
      <c r="A16" s="3084"/>
      <c r="B16" s="1203"/>
      <c r="D16" s="1645" t="s">
        <v>399</v>
      </c>
      <c r="E16" s="1646" t="s">
        <v>890</v>
      </c>
      <c r="F16" s="1642" t="s">
        <v>891</v>
      </c>
      <c r="G16" s="1509"/>
      <c r="H16" s="798"/>
      <c r="I16" s="1509"/>
      <c r="J16" s="798"/>
      <c r="K16" s="981"/>
      <c r="L16" s="1412"/>
      <c r="X16" s="1450">
        <v>0</v>
      </c>
    </row>
    <row s="62286" customFormat="1" customHeight="1" ht="22.5">
      <c r="A17" s="3084"/>
      <c r="B17" s="1203"/>
      <c r="D17" s="1645" t="s">
        <v>407</v>
      </c>
      <c r="E17" s="1646" t="s">
        <v>892</v>
      </c>
      <c r="F17" s="1642" t="s">
        <v>893</v>
      </c>
      <c r="G17" s="1509"/>
      <c r="H17" s="798"/>
      <c r="I17" s="1509"/>
      <c r="J17" s="798"/>
      <c r="K17" s="981"/>
      <c r="L17" s="1412"/>
      <c r="X17" s="1450">
        <v>0</v>
      </c>
    </row>
    <row s="62286" customFormat="1" customHeight="1" ht="33.75">
      <c r="A18" s="3084"/>
      <c r="B18" s="1203"/>
      <c r="D18" s="1645" t="s">
        <v>409</v>
      </c>
      <c r="E18" s="1646" t="s">
        <v>894</v>
      </c>
      <c r="F18" s="1642" t="s">
        <v>645</v>
      </c>
      <c r="G18" s="1372"/>
      <c r="H18" s="798"/>
      <c r="I18" s="1372"/>
      <c r="J18" s="798"/>
      <c r="K18" s="981"/>
      <c r="L18" s="1412"/>
      <c r="X18" s="1450">
        <v>0</v>
      </c>
    </row>
    <row customHeight="1" ht="101.25">
      <c r="A19" s="3084"/>
      <c r="D19" s="1645" t="s">
        <v>92</v>
      </c>
      <c r="E19" s="971" t="s">
        <v>895</v>
      </c>
      <c r="F19" s="1352" t="s">
        <v>620</v>
      </c>
      <c r="G19" s="1355"/>
      <c r="H19" s="1354"/>
      <c r="I19" s="1647"/>
      <c r="J19" s="1354"/>
      <c r="K19" s="981" t="s">
        <v>896</v>
      </c>
      <c r="L19" s="1412"/>
      <c r="X19" s="1197">
        <v>0</v>
      </c>
    </row>
    <row s="62286" customFormat="1" customHeight="1" ht="18.75">
      <c r="A20" s="3084"/>
      <c r="C20" s="1648"/>
      <c r="D20" s="1645" t="s">
        <v>827</v>
      </c>
      <c r="E20" s="1646" t="s">
        <v>897</v>
      </c>
      <c r="F20" s="1642" t="s">
        <v>381</v>
      </c>
      <c r="G20" s="1642" t="s">
        <v>381</v>
      </c>
      <c r="H20" s="1641" t="s">
        <v>381</v>
      </c>
      <c r="I20" s="1642" t="s">
        <v>381</v>
      </c>
      <c r="J20" s="1641" t="s">
        <v>381</v>
      </c>
      <c r="K20" s="1640"/>
      <c r="L20" s="1412"/>
      <c r="W20" s="1367"/>
      <c r="X20" s="1450">
        <v>0</v>
      </c>
    </row>
    <row s="62286" customFormat="1" customHeight="1" ht="33.75">
      <c r="A21" s="3084"/>
      <c r="C21" s="1648"/>
      <c r="D21" s="1645" t="s">
        <v>830</v>
      </c>
      <c r="E21" s="1268" t="s">
        <v>898</v>
      </c>
      <c r="F21" s="1642" t="s">
        <v>899</v>
      </c>
      <c r="G21" s="1372"/>
      <c r="H21" s="798"/>
      <c r="I21" s="1372"/>
      <c r="J21" s="798"/>
      <c r="K21" s="1640"/>
      <c r="L21" s="1412"/>
      <c r="W21" s="1367"/>
      <c r="X21" s="1450">
        <v>0</v>
      </c>
    </row>
    <row s="62286" customFormat="1" customHeight="1" ht="33.75">
      <c r="A22" s="3084"/>
      <c r="C22" s="1648"/>
      <c r="D22" s="1645" t="s">
        <v>833</v>
      </c>
      <c r="E22" s="1268" t="s">
        <v>900</v>
      </c>
      <c r="F22" s="1642" t="s">
        <v>901</v>
      </c>
      <c r="G22" s="1372"/>
      <c r="H22" s="798"/>
      <c r="I22" s="1372"/>
      <c r="J22" s="798"/>
      <c r="K22" s="1640"/>
      <c r="L22" s="1412"/>
      <c r="W22" s="1367"/>
      <c r="X22" s="1450">
        <v>0</v>
      </c>
    </row>
    <row s="62286" customFormat="1" customHeight="1" ht="22.5">
      <c r="A23" s="3084"/>
      <c r="C23" s="1648"/>
      <c r="D23" s="1645" t="s">
        <v>869</v>
      </c>
      <c r="E23" s="1646" t="s">
        <v>902</v>
      </c>
      <c r="F23" s="1642" t="s">
        <v>381</v>
      </c>
      <c r="G23" s="1642" t="s">
        <v>381</v>
      </c>
      <c r="H23" s="1641" t="s">
        <v>381</v>
      </c>
      <c r="I23" s="1642" t="s">
        <v>381</v>
      </c>
      <c r="J23" s="1641" t="s">
        <v>381</v>
      </c>
      <c r="K23" s="1640"/>
      <c r="L23" s="1412"/>
      <c r="W23" s="1367"/>
      <c r="X23" s="1450">
        <v>0</v>
      </c>
    </row>
    <row s="62286" customFormat="1" customHeight="1" ht="22.5">
      <c r="A24" s="3084"/>
      <c r="C24" s="1648"/>
      <c r="D24" s="1645" t="s">
        <v>903</v>
      </c>
      <c r="E24" s="1268" t="s">
        <v>904</v>
      </c>
      <c r="F24" s="1642" t="s">
        <v>905</v>
      </c>
      <c r="G24" s="1372"/>
      <c r="H24" s="1378"/>
      <c r="I24" s="1372"/>
      <c r="J24" s="1378"/>
      <c r="K24" s="1640"/>
      <c r="L24" s="1412"/>
      <c r="W24" s="1367"/>
      <c r="X24" s="1450">
        <v>0</v>
      </c>
    </row>
    <row s="62286" customFormat="1" customHeight="1" ht="22.5">
      <c r="A25" s="3084"/>
      <c r="C25" s="1648"/>
      <c r="D25" s="1645" t="s">
        <v>906</v>
      </c>
      <c r="E25" s="1268" t="s">
        <v>907</v>
      </c>
      <c r="F25" s="1642" t="s">
        <v>381</v>
      </c>
      <c r="G25" s="1642" t="s">
        <v>381</v>
      </c>
      <c r="H25" s="1641" t="s">
        <v>381</v>
      </c>
      <c r="I25" s="1642" t="s">
        <v>381</v>
      </c>
      <c r="J25" s="1641" t="s">
        <v>381</v>
      </c>
      <c r="K25" s="1640"/>
      <c r="L25" s="1412"/>
      <c r="W25" s="1367"/>
      <c r="X25" s="1450">
        <v>0</v>
      </c>
    </row>
    <row s="62286" customFormat="1" customHeight="1" ht="18.75">
      <c r="A26" s="3084"/>
      <c r="C26" s="1648"/>
      <c r="D26" s="1645" t="s">
        <v>908</v>
      </c>
      <c r="E26" s="1245" t="s">
        <v>909</v>
      </c>
      <c r="F26" s="1642" t="s">
        <v>910</v>
      </c>
      <c r="G26" s="1372"/>
      <c r="H26" s="1378"/>
      <c r="I26" s="1372"/>
      <c r="J26" s="1378"/>
      <c r="K26" s="1640"/>
      <c r="L26" s="1412"/>
      <c r="W26" s="1367"/>
      <c r="X26" s="1450">
        <v>0</v>
      </c>
    </row>
    <row s="62286" customFormat="1" customHeight="1" ht="18.75">
      <c r="A27" s="3084"/>
      <c r="C27" s="1648"/>
      <c r="D27" s="1645" t="s">
        <v>911</v>
      </c>
      <c r="E27" s="1245" t="s">
        <v>912</v>
      </c>
      <c r="F27" s="1642" t="s">
        <v>913</v>
      </c>
      <c r="G27" s="1372"/>
      <c r="H27" s="1378"/>
      <c r="I27" s="1372"/>
      <c r="J27" s="1378"/>
      <c r="K27" s="1640"/>
      <c r="L27" s="1412"/>
      <c r="W27" s="1367"/>
      <c r="X27" s="1450">
        <v>0</v>
      </c>
    </row>
    <row s="62286" customFormat="1" customHeight="1" ht="18.75">
      <c r="A28" s="3084"/>
      <c r="C28" s="1648"/>
      <c r="D28" s="1645" t="s">
        <v>914</v>
      </c>
      <c r="E28" s="1268" t="s">
        <v>915</v>
      </c>
      <c r="F28" s="1642" t="s">
        <v>381</v>
      </c>
      <c r="G28" s="1642" t="s">
        <v>381</v>
      </c>
      <c r="H28" s="1641" t="s">
        <v>381</v>
      </c>
      <c r="I28" s="1642" t="s">
        <v>381</v>
      </c>
      <c r="J28" s="1641" t="s">
        <v>381</v>
      </c>
      <c r="K28" s="1640"/>
      <c r="L28" s="1412"/>
      <c r="W28" s="1367"/>
      <c r="X28" s="1450">
        <v>0</v>
      </c>
    </row>
    <row s="62286" customFormat="1" customHeight="1" ht="18.75">
      <c r="A29" s="3084"/>
      <c r="C29" s="1648"/>
      <c r="D29" s="1645" t="s">
        <v>916</v>
      </c>
      <c r="E29" s="1245" t="s">
        <v>909</v>
      </c>
      <c r="F29" s="1642" t="s">
        <v>917</v>
      </c>
      <c r="G29" s="1372"/>
      <c r="H29" s="1378"/>
      <c r="I29" s="1372"/>
      <c r="J29" s="1378"/>
      <c r="K29" s="1640"/>
      <c r="L29" s="1412"/>
      <c r="W29" s="1367"/>
      <c r="X29" s="1450">
        <v>0</v>
      </c>
    </row>
    <row s="62286" customFormat="1" customHeight="1" ht="18.75">
      <c r="A30" s="3084"/>
      <c r="C30" s="1648"/>
      <c r="D30" s="1645" t="s">
        <v>918</v>
      </c>
      <c r="E30" s="1245" t="s">
        <v>919</v>
      </c>
      <c r="F30" s="1642" t="s">
        <v>920</v>
      </c>
      <c r="G30" s="1372"/>
      <c r="H30" s="1378"/>
      <c r="I30" s="1372"/>
      <c r="J30" s="1378"/>
      <c r="K30" s="1640"/>
      <c r="L30" s="1412"/>
      <c r="W30" s="1367"/>
      <c r="X30" s="1450">
        <v>0</v>
      </c>
    </row>
    <row customHeight="1" ht="126.75">
      <c r="A31" s="3084"/>
      <c r="D31" s="1645" t="s">
        <v>119</v>
      </c>
      <c r="E31" s="971" t="s">
        <v>921</v>
      </c>
      <c r="F31" s="1352" t="s">
        <v>632</v>
      </c>
      <c r="G31" s="1249"/>
      <c r="H31" s="1354"/>
      <c r="I31" s="1249"/>
      <c r="J31" s="1354"/>
      <c r="K31" s="981" t="s">
        <v>922</v>
      </c>
      <c r="L31" s="1412"/>
      <c r="X31" s="1197">
        <v>0</v>
      </c>
    </row>
    <row customHeight="1" ht="56.25">
      <c r="A32" s="3084"/>
      <c r="D32" s="1645" t="s">
        <v>93</v>
      </c>
      <c r="E32" s="971" t="s">
        <v>923</v>
      </c>
      <c r="F32" s="1231" t="s">
        <v>893</v>
      </c>
      <c r="G32" s="1249"/>
      <c r="H32" s="1354"/>
      <c r="I32" s="1249"/>
      <c r="J32" s="1354"/>
      <c r="K32" s="981" t="s">
        <v>924</v>
      </c>
      <c r="L32" s="1412"/>
      <c r="X32" s="1197">
        <v>0</v>
      </c>
    </row>
    <row customHeight="1" ht="11.25">
      <c r="A33" s="3084"/>
      <c r="E33" s="1356"/>
      <c r="F33" s="873"/>
      <c r="G33" s="873"/>
      <c r="H33" s="873"/>
      <c r="I33" s="873"/>
      <c r="J33" s="873"/>
      <c r="K33" s="873"/>
      <c r="X33" s="1197">
        <v>0</v>
      </c>
    </row>
    <row customHeight="1" ht="12.75">
      <c r="A34" s="3084"/>
      <c r="D34" s="757">
        <v>1</v>
      </c>
      <c r="E34" s="1027" t="s">
        <v>925</v>
      </c>
      <c r="X34" s="1197">
        <v>0</v>
      </c>
    </row>
    <row customHeight="1" ht="11.25">
      <c r="A35" s="3084"/>
      <c r="D35" s="1061"/>
      <c r="E35" s="1027" t="s">
        <v>926</v>
      </c>
      <c r="X35" s="1197">
        <v>0</v>
      </c>
    </row>
    <row s="62286" customFormat="1" customHeight="1" ht="11.549999999999999">
      <c r="A36" s="1725"/>
      <c r="B36" s="1210"/>
      <c r="D36" s="1726"/>
      <c r="E36" s="1727"/>
      <c r="X36" s="1201">
        <v>11</v>
      </c>
    </row>
    <row s="62286" customFormat="1" customHeight="1" ht="22.5" hidden="1">
      <c r="A37" s="3084" t="s">
        <v>927</v>
      </c>
      <c r="B37" s="1203"/>
      <c r="D37" s="1645">
        <v>1</v>
      </c>
      <c r="E37" s="1399" t="s">
        <v>928</v>
      </c>
      <c r="F37" s="1352" t="s">
        <v>883</v>
      </c>
      <c r="G37" s="1249"/>
      <c r="H37" s="1211"/>
      <c r="I37" s="1249"/>
      <c r="J37" s="1211"/>
      <c r="K37" s="981" t="s">
        <v>929</v>
      </c>
      <c r="X37" s="1450">
        <v>0</v>
      </c>
    </row>
    <row s="62286" customFormat="1" customHeight="1" ht="22.5" hidden="1">
      <c r="A38" s="3084"/>
      <c r="B38" s="1203"/>
      <c r="D38" s="1361" t="s">
        <v>103</v>
      </c>
      <c r="E38" s="1724" t="s">
        <v>930</v>
      </c>
      <c r="F38" s="1728" t="s">
        <v>620</v>
      </c>
      <c r="G38" s="1728" t="s">
        <v>620</v>
      </c>
      <c r="H38" s="1722"/>
      <c r="I38" s="1728" t="s">
        <v>620</v>
      </c>
      <c r="J38" s="1722"/>
      <c r="K38" s="1723"/>
      <c r="X38" s="1450">
        <v>0</v>
      </c>
    </row>
    <row s="62286" customFormat="1" customHeight="1" ht="33.75" hidden="1">
      <c r="A39" s="3084"/>
      <c r="B39" s="1203"/>
      <c r="D39" s="1357" t="s">
        <v>785</v>
      </c>
      <c r="E39" s="1415" t="s">
        <v>931</v>
      </c>
      <c r="F39" s="1352" t="s">
        <v>932</v>
      </c>
      <c r="G39" s="1360"/>
      <c r="H39" s="1715"/>
      <c r="I39" s="1360"/>
      <c r="J39" s="1715"/>
      <c r="K39" s="981" t="s">
        <v>933</v>
      </c>
      <c r="X39" s="1450">
        <v>0</v>
      </c>
    </row>
    <row s="62286" customFormat="1" customHeight="1" ht="33.75" hidden="1">
      <c r="A40" s="3084"/>
      <c r="B40" s="1203"/>
      <c r="D40" s="1357" t="s">
        <v>788</v>
      </c>
      <c r="E40" s="1415" t="s">
        <v>934</v>
      </c>
      <c r="F40" s="1719" t="s">
        <v>935</v>
      </c>
      <c r="G40" s="1433"/>
      <c r="H40" s="1715"/>
      <c r="I40" s="1433"/>
      <c r="J40" s="1715"/>
      <c r="K40" s="981" t="s">
        <v>936</v>
      </c>
      <c r="X40" s="1450">
        <v>0</v>
      </c>
    </row>
    <row s="62286" customFormat="1" customHeight="1" ht="22.5" hidden="1">
      <c r="A41" s="3084"/>
      <c r="B41" s="1203"/>
      <c r="D41" s="1357" t="s">
        <v>91</v>
      </c>
      <c r="E41" s="1414" t="s">
        <v>937</v>
      </c>
      <c r="F41" s="1352" t="s">
        <v>620</v>
      </c>
      <c r="G41" s="1352" t="s">
        <v>620</v>
      </c>
      <c r="H41" s="1716"/>
      <c r="I41" s="1352" t="s">
        <v>620</v>
      </c>
      <c r="J41" s="1716"/>
      <c r="K41" s="994"/>
      <c r="X41" s="1450">
        <v>0</v>
      </c>
    </row>
    <row s="62286" customFormat="1" customHeight="1" ht="45" hidden="1">
      <c r="A42" s="3084"/>
      <c r="B42" s="1203"/>
      <c r="D42" s="1357" t="s">
        <v>399</v>
      </c>
      <c r="E42" s="1415" t="s">
        <v>938</v>
      </c>
      <c r="F42" s="1352" t="s">
        <v>632</v>
      </c>
      <c r="G42" s="1249"/>
      <c r="H42" s="1716"/>
      <c r="I42" s="1249"/>
      <c r="J42" s="1716"/>
      <c r="K42" s="994" t="s">
        <v>939</v>
      </c>
      <c r="X42" s="1450">
        <v>0</v>
      </c>
    </row>
    <row s="62286" customFormat="1" customHeight="1" ht="45" hidden="1">
      <c r="A43" s="3084"/>
      <c r="B43" s="1203"/>
      <c r="D43" s="1357" t="s">
        <v>407</v>
      </c>
      <c r="E43" s="1359" t="s">
        <v>940</v>
      </c>
      <c r="F43" s="1720" t="s">
        <v>632</v>
      </c>
      <c r="G43" s="1434"/>
      <c r="H43" s="1715"/>
      <c r="I43" s="1434"/>
      <c r="J43" s="1715"/>
      <c r="K43" s="994" t="s">
        <v>941</v>
      </c>
      <c r="X43" s="1450">
        <v>0</v>
      </c>
    </row>
    <row s="62286" customFormat="1" customHeight="1" ht="11.25" hidden="1">
      <c r="A44" s="3084"/>
      <c r="B44" s="1203"/>
      <c r="D44" s="1357" t="s">
        <v>92</v>
      </c>
      <c r="E44" s="1358" t="s">
        <v>942</v>
      </c>
      <c r="F44" s="1352" t="s">
        <v>932</v>
      </c>
      <c r="G44" s="1360"/>
      <c r="H44" s="1715"/>
      <c r="I44" s="1360"/>
      <c r="J44" s="1715"/>
      <c r="K44" s="981"/>
      <c r="X44" s="1450">
        <v>0</v>
      </c>
    </row>
    <row s="62286" customFormat="1" customHeight="1" ht="11.25" hidden="1">
      <c r="A45" s="3084"/>
      <c r="B45" s="1203"/>
      <c r="D45" s="1357" t="s">
        <v>827</v>
      </c>
      <c r="E45" s="1359" t="s">
        <v>943</v>
      </c>
      <c r="F45" s="1352" t="s">
        <v>932</v>
      </c>
      <c r="G45" s="1360"/>
      <c r="H45" s="1715"/>
      <c r="I45" s="1360"/>
      <c r="J45" s="1715"/>
      <c r="K45" s="981"/>
      <c r="X45" s="1450">
        <v>0</v>
      </c>
    </row>
    <row s="62286" customFormat="1" customHeight="1" ht="11.25" hidden="1">
      <c r="A46" s="3084"/>
      <c r="B46" s="1203"/>
      <c r="D46" s="1357" t="s">
        <v>869</v>
      </c>
      <c r="E46" s="1359" t="s">
        <v>944</v>
      </c>
      <c r="F46" s="1352" t="s">
        <v>932</v>
      </c>
      <c r="G46" s="1360"/>
      <c r="H46" s="1715"/>
      <c r="I46" s="1360"/>
      <c r="J46" s="1715"/>
      <c r="K46" s="981"/>
      <c r="X46" s="1450">
        <v>0</v>
      </c>
    </row>
    <row s="62286" customFormat="1" customHeight="1" ht="11.25" hidden="1">
      <c r="A47" s="3084"/>
      <c r="B47" s="1203"/>
      <c r="D47" s="1357" t="s">
        <v>872</v>
      </c>
      <c r="E47" s="1359" t="s">
        <v>945</v>
      </c>
      <c r="F47" s="1352" t="s">
        <v>932</v>
      </c>
      <c r="G47" s="1360"/>
      <c r="H47" s="1715"/>
      <c r="I47" s="1360"/>
      <c r="J47" s="1715"/>
      <c r="K47" s="981"/>
      <c r="X47" s="1450">
        <v>0</v>
      </c>
    </row>
    <row s="62286" customFormat="1" customHeight="1" ht="11.25" hidden="1">
      <c r="A48" s="3084"/>
      <c r="B48" s="1203"/>
      <c r="D48" s="1357" t="s">
        <v>946</v>
      </c>
      <c r="E48" s="1363" t="s">
        <v>947</v>
      </c>
      <c r="F48" s="1352" t="s">
        <v>932</v>
      </c>
      <c r="G48" s="1360"/>
      <c r="H48" s="1715"/>
      <c r="I48" s="1360"/>
      <c r="J48" s="1715"/>
      <c r="K48" s="981"/>
      <c r="X48" s="1450">
        <v>0</v>
      </c>
    </row>
    <row s="62286" customFormat="1" customHeight="1" ht="11.25" hidden="1">
      <c r="A49" s="3084"/>
      <c r="B49" s="1203"/>
      <c r="D49" s="1357" t="s">
        <v>948</v>
      </c>
      <c r="E49" s="1363" t="s">
        <v>949</v>
      </c>
      <c r="F49" s="1352" t="s">
        <v>932</v>
      </c>
      <c r="G49" s="1360"/>
      <c r="H49" s="1715"/>
      <c r="I49" s="1360"/>
      <c r="J49" s="1715"/>
      <c r="K49" s="981"/>
      <c r="X49" s="1450">
        <v>0</v>
      </c>
    </row>
    <row s="62286" customFormat="1" customHeight="1" ht="11.25" hidden="1">
      <c r="A50" s="3084"/>
      <c r="B50" s="1203"/>
      <c r="D50" s="1357" t="s">
        <v>950</v>
      </c>
      <c r="E50" s="1359" t="s">
        <v>951</v>
      </c>
      <c r="F50" s="1352" t="s">
        <v>932</v>
      </c>
      <c r="G50" s="1360"/>
      <c r="H50" s="1715"/>
      <c r="I50" s="1360"/>
      <c r="J50" s="1715"/>
      <c r="K50" s="981"/>
      <c r="X50" s="1450">
        <v>0</v>
      </c>
    </row>
    <row s="62286" customFormat="1" customHeight="1" ht="11.25" hidden="1">
      <c r="A51" s="3084"/>
      <c r="B51" s="1203"/>
      <c r="D51" s="1357" t="s">
        <v>952</v>
      </c>
      <c r="E51" s="1359" t="s">
        <v>953</v>
      </c>
      <c r="F51" s="1352" t="s">
        <v>932</v>
      </c>
      <c r="G51" s="1360"/>
      <c r="H51" s="1715"/>
      <c r="I51" s="1360"/>
      <c r="J51" s="1715"/>
      <c r="K51" s="981"/>
      <c r="X51" s="1450">
        <v>0</v>
      </c>
    </row>
    <row s="62286" customFormat="1" customHeight="1" ht="45" hidden="1">
      <c r="A52" s="3084"/>
      <c r="B52" s="1203"/>
      <c r="D52" s="1357" t="s">
        <v>119</v>
      </c>
      <c r="E52" s="1358" t="s">
        <v>954</v>
      </c>
      <c r="F52" s="1352" t="s">
        <v>932</v>
      </c>
      <c r="G52" s="1360"/>
      <c r="H52" s="1715"/>
      <c r="I52" s="1360"/>
      <c r="J52" s="1715"/>
      <c r="K52" s="981"/>
      <c r="X52" s="1450">
        <v>0</v>
      </c>
    </row>
    <row s="62286" customFormat="1" customHeight="1" ht="11.25" hidden="1">
      <c r="A53" s="3084"/>
      <c r="B53" s="1203"/>
      <c r="D53" s="1357" t="s">
        <v>388</v>
      </c>
      <c r="E53" s="1359" t="s">
        <v>943</v>
      </c>
      <c r="F53" s="1352" t="s">
        <v>932</v>
      </c>
      <c r="G53" s="1360"/>
      <c r="H53" s="1715"/>
      <c r="I53" s="1360"/>
      <c r="J53" s="1715"/>
      <c r="K53" s="981"/>
      <c r="X53" s="1450">
        <v>0</v>
      </c>
    </row>
    <row s="62286" customFormat="1" customHeight="1" ht="11.25" hidden="1">
      <c r="A54" s="3084"/>
      <c r="B54" s="1203"/>
      <c r="D54" s="1357" t="s">
        <v>955</v>
      </c>
      <c r="E54" s="1359" t="s">
        <v>944</v>
      </c>
      <c r="F54" s="1352" t="s">
        <v>932</v>
      </c>
      <c r="G54" s="1360"/>
      <c r="H54" s="1715"/>
      <c r="I54" s="1360"/>
      <c r="J54" s="1715"/>
      <c r="K54" s="981"/>
      <c r="X54" s="1450">
        <v>0</v>
      </c>
    </row>
    <row s="62286" customFormat="1" customHeight="1" ht="11.25" hidden="1">
      <c r="A55" s="3084"/>
      <c r="B55" s="1203"/>
      <c r="D55" s="1357" t="s">
        <v>956</v>
      </c>
      <c r="E55" s="1359" t="s">
        <v>945</v>
      </c>
      <c r="F55" s="1352" t="s">
        <v>932</v>
      </c>
      <c r="G55" s="1360"/>
      <c r="H55" s="1715"/>
      <c r="I55" s="1360"/>
      <c r="J55" s="1715"/>
      <c r="K55" s="981"/>
      <c r="X55" s="1450">
        <v>0</v>
      </c>
    </row>
    <row s="62286" customFormat="1" customHeight="1" ht="11.25" hidden="1">
      <c r="A56" s="3084"/>
      <c r="B56" s="1203"/>
      <c r="D56" s="1357" t="s">
        <v>957</v>
      </c>
      <c r="E56" s="1363" t="s">
        <v>947</v>
      </c>
      <c r="F56" s="1352" t="s">
        <v>932</v>
      </c>
      <c r="G56" s="1360"/>
      <c r="H56" s="1715"/>
      <c r="I56" s="1360"/>
      <c r="J56" s="1715"/>
      <c r="K56" s="981"/>
      <c r="X56" s="1450">
        <v>0</v>
      </c>
    </row>
    <row s="62286" customFormat="1" customHeight="1" ht="11.25" hidden="1">
      <c r="A57" s="3084"/>
      <c r="B57" s="1203"/>
      <c r="D57" s="1357" t="s">
        <v>958</v>
      </c>
      <c r="E57" s="1363" t="s">
        <v>949</v>
      </c>
      <c r="F57" s="1352" t="s">
        <v>932</v>
      </c>
      <c r="G57" s="1360"/>
      <c r="H57" s="1715"/>
      <c r="I57" s="1360"/>
      <c r="J57" s="1715"/>
      <c r="K57" s="981"/>
      <c r="X57" s="1450">
        <v>0</v>
      </c>
    </row>
    <row s="62286" customFormat="1" customHeight="1" ht="11.25" hidden="1">
      <c r="A58" s="3084"/>
      <c r="B58" s="1203"/>
      <c r="D58" s="1357" t="s">
        <v>959</v>
      </c>
      <c r="E58" s="1359" t="s">
        <v>951</v>
      </c>
      <c r="F58" s="1352" t="s">
        <v>932</v>
      </c>
      <c r="G58" s="1360"/>
      <c r="H58" s="1715"/>
      <c r="I58" s="1360"/>
      <c r="J58" s="1715"/>
      <c r="K58" s="981"/>
      <c r="X58" s="1450">
        <v>0</v>
      </c>
    </row>
    <row s="62286" customFormat="1" customHeight="1" ht="11.25" hidden="1">
      <c r="A59" s="3084"/>
      <c r="B59" s="1203"/>
      <c r="D59" s="1357" t="s">
        <v>960</v>
      </c>
      <c r="E59" s="1359" t="s">
        <v>953</v>
      </c>
      <c r="F59" s="1352" t="s">
        <v>932</v>
      </c>
      <c r="G59" s="1360"/>
      <c r="H59" s="1715"/>
      <c r="I59" s="1360"/>
      <c r="J59" s="1715"/>
      <c r="K59" s="981"/>
      <c r="X59" s="1450">
        <v>0</v>
      </c>
    </row>
    <row s="62286" customFormat="1" customHeight="1" ht="33.75" hidden="1">
      <c r="A60" s="3084"/>
      <c r="B60" s="1203"/>
      <c r="D60" s="1357" t="s">
        <v>93</v>
      </c>
      <c r="E60" s="1358" t="s">
        <v>961</v>
      </c>
      <c r="F60" s="1413" t="s">
        <v>632</v>
      </c>
      <c r="G60" s="1434"/>
      <c r="H60" s="1715"/>
      <c r="I60" s="1434"/>
      <c r="J60" s="1715"/>
      <c r="K60" s="994" t="s">
        <v>962</v>
      </c>
      <c r="X60" s="1450">
        <v>0</v>
      </c>
    </row>
    <row s="62286" customFormat="1" customHeight="1" ht="33.75" hidden="1">
      <c r="A61" s="3084"/>
      <c r="B61" s="1203"/>
      <c r="D61" s="1357" t="s">
        <v>94</v>
      </c>
      <c r="E61" s="1358" t="s">
        <v>963</v>
      </c>
      <c r="F61" s="1418" t="s">
        <v>893</v>
      </c>
      <c r="G61" s="1360"/>
      <c r="H61" s="1715"/>
      <c r="I61" s="1360"/>
      <c r="J61" s="1715"/>
      <c r="K61" s="981"/>
      <c r="X61" s="1450">
        <v>0</v>
      </c>
    </row>
    <row s="62286" customFormat="1" customHeight="1" ht="22.5" hidden="1">
      <c r="A62" s="3084"/>
      <c r="B62" s="1203" t="s">
        <v>662</v>
      </c>
      <c r="D62" s="1357" t="s">
        <v>120</v>
      </c>
      <c r="E62" s="1358" t="s">
        <v>964</v>
      </c>
      <c r="F62" s="1418" t="s">
        <v>381</v>
      </c>
      <c r="G62" s="1074"/>
      <c r="H62" s="1715"/>
      <c r="I62" s="1074"/>
      <c r="J62" s="1715"/>
      <c r="K62" s="981" t="s">
        <v>705</v>
      </c>
      <c r="X62" s="1450">
        <v>0</v>
      </c>
    </row>
    <row s="62286" customFormat="1" customHeight="1" ht="45" hidden="1">
      <c r="A63" s="3084"/>
      <c r="B63" s="1203" t="s">
        <v>662</v>
      </c>
      <c r="D63" s="1357" t="s">
        <v>965</v>
      </c>
      <c r="E63" s="1359" t="s">
        <v>966</v>
      </c>
      <c r="F63" s="1413" t="s">
        <v>381</v>
      </c>
      <c r="G63" s="1074"/>
      <c r="H63" s="1715"/>
      <c r="I63" s="1074"/>
      <c r="J63" s="1715"/>
      <c r="K63" s="981" t="s">
        <v>705</v>
      </c>
      <c r="X63" s="1450">
        <v>0</v>
      </c>
    </row>
    <row s="62286" customFormat="1" customHeight="1" ht="11.549999999999999">
      <c r="A64" s="1725"/>
      <c r="B64" s="1210"/>
      <c r="D64" s="1726"/>
      <c r="E64" s="1727"/>
      <c r="X64" s="1201">
        <v>11</v>
      </c>
    </row>
    <row s="62286" customFormat="1" customHeight="1" ht="22.5" hidden="1">
      <c r="A65" s="3084" t="s">
        <v>967</v>
      </c>
      <c r="B65" s="1203"/>
      <c r="D65" s="1357">
        <v>1</v>
      </c>
      <c r="E65" s="1436" t="s">
        <v>968</v>
      </c>
      <c r="F65" s="1432" t="s">
        <v>883</v>
      </c>
      <c r="G65" s="1433"/>
      <c r="H65" s="1721"/>
      <c r="I65" s="1433"/>
      <c r="J65" s="1721"/>
      <c r="K65" s="993" t="s">
        <v>969</v>
      </c>
      <c r="X65" s="1450">
        <v>0</v>
      </c>
    </row>
    <row s="62286" customFormat="1" customHeight="1" ht="56.25" hidden="1">
      <c r="A66" s="3084"/>
      <c r="B66" s="1203"/>
      <c r="D66" s="1435" t="s">
        <v>103</v>
      </c>
      <c r="E66" s="1399" t="s">
        <v>970</v>
      </c>
      <c r="F66" s="1352" t="s">
        <v>620</v>
      </c>
      <c r="G66" s="1352" t="s">
        <v>620</v>
      </c>
      <c r="H66" s="1211"/>
      <c r="I66" s="1352" t="s">
        <v>620</v>
      </c>
      <c r="J66" s="1211"/>
      <c r="K66" s="981"/>
      <c r="X66" s="1450">
        <v>0</v>
      </c>
    </row>
    <row s="62286" customFormat="1" customHeight="1" ht="33.75" hidden="1">
      <c r="A67" s="3084"/>
      <c r="B67" s="1203"/>
      <c r="D67" s="1435" t="s">
        <v>782</v>
      </c>
      <c r="E67" s="1646" t="s">
        <v>971</v>
      </c>
      <c r="F67" s="1352" t="s">
        <v>935</v>
      </c>
      <c r="G67" s="1419"/>
      <c r="H67" s="1211"/>
      <c r="I67" s="1419"/>
      <c r="J67" s="1211"/>
      <c r="K67" s="981"/>
      <c r="X67" s="1450">
        <v>0</v>
      </c>
    </row>
    <row s="62286" customFormat="1" customHeight="1" ht="22.5" hidden="1">
      <c r="A68" s="3084"/>
      <c r="B68" s="1203"/>
      <c r="D68" s="1435" t="s">
        <v>382</v>
      </c>
      <c r="E68" s="1646" t="s">
        <v>972</v>
      </c>
      <c r="F68" s="1352" t="s">
        <v>935</v>
      </c>
      <c r="G68" s="1419"/>
      <c r="H68" s="1211"/>
      <c r="I68" s="1419"/>
      <c r="J68" s="1211"/>
      <c r="K68" s="981"/>
      <c r="X68" s="1450">
        <v>0</v>
      </c>
    </row>
    <row s="62286" customFormat="1" customHeight="1" ht="22.5" hidden="1">
      <c r="A69" s="3084"/>
      <c r="B69" s="1203"/>
      <c r="D69" s="1435" t="s">
        <v>385</v>
      </c>
      <c r="E69" s="1646" t="s">
        <v>973</v>
      </c>
      <c r="F69" s="1413" t="s">
        <v>632</v>
      </c>
      <c r="G69" s="1434"/>
      <c r="H69" s="1211"/>
      <c r="I69" s="1434"/>
      <c r="J69" s="1211"/>
      <c r="K69" s="981"/>
      <c r="X69" s="1450">
        <v>0</v>
      </c>
    </row>
    <row s="62286" customFormat="1" customHeight="1" ht="22.5" hidden="1">
      <c r="A70" s="3084"/>
      <c r="B70" s="1203"/>
      <c r="D70" s="1435" t="s">
        <v>802</v>
      </c>
      <c r="E70" s="1646" t="s">
        <v>974</v>
      </c>
      <c r="F70" s="1413" t="s">
        <v>632</v>
      </c>
      <c r="G70" s="1434"/>
      <c r="H70" s="1211"/>
      <c r="I70" s="1434"/>
      <c r="J70" s="1211"/>
      <c r="K70" s="981"/>
      <c r="X70" s="1450">
        <v>0</v>
      </c>
    </row>
    <row s="62286" customFormat="1" customHeight="1" ht="22.5" hidden="1">
      <c r="A71" s="3084"/>
      <c r="B71" s="1203"/>
      <c r="D71" s="1357" t="s">
        <v>91</v>
      </c>
      <c r="E71" s="1358" t="s">
        <v>975</v>
      </c>
      <c r="F71" s="1352" t="s">
        <v>935</v>
      </c>
      <c r="G71" s="1249"/>
      <c r="H71" s="1722"/>
      <c r="I71" s="1249"/>
      <c r="J71" s="1722"/>
      <c r="K71" s="994"/>
      <c r="X71" s="1450">
        <v>0</v>
      </c>
    </row>
    <row s="62286" customFormat="1" customHeight="1" ht="56.25" hidden="1">
      <c r="A72" s="3084"/>
      <c r="B72" s="1203"/>
      <c r="D72" s="1357" t="s">
        <v>92</v>
      </c>
      <c r="E72" s="1358" t="s">
        <v>976</v>
      </c>
      <c r="F72" s="1413" t="s">
        <v>632</v>
      </c>
      <c r="G72" s="1434"/>
      <c r="H72" s="1715"/>
      <c r="I72" s="1434"/>
      <c r="J72" s="1715"/>
      <c r="K72" s="994"/>
      <c r="X72" s="1450">
        <v>0</v>
      </c>
    </row>
    <row s="62286" customFormat="1" customHeight="1" ht="33.75" hidden="1">
      <c r="A73" s="3084"/>
      <c r="B73" s="1203"/>
      <c r="D73" s="1357" t="s">
        <v>119</v>
      </c>
      <c r="E73" s="1358" t="s">
        <v>977</v>
      </c>
      <c r="F73" s="1418" t="s">
        <v>893</v>
      </c>
      <c r="G73" s="1360"/>
      <c r="H73" s="1715"/>
      <c r="I73" s="1360"/>
      <c r="J73" s="1715"/>
      <c r="K73" s="981"/>
      <c r="X73" s="1450">
        <v>0</v>
      </c>
    </row>
    <row s="62286" customFormat="1" customHeight="1" ht="22.5" hidden="1">
      <c r="A74" s="3084"/>
      <c r="B74" s="1203" t="s">
        <v>662</v>
      </c>
      <c r="D74" s="1357" t="s">
        <v>93</v>
      </c>
      <c r="E74" s="1358" t="s">
        <v>978</v>
      </c>
      <c r="F74" s="1418" t="s">
        <v>381</v>
      </c>
      <c r="G74" s="1074"/>
      <c r="H74" s="1715"/>
      <c r="I74" s="1074"/>
      <c r="J74" s="1715"/>
      <c r="K74" s="981" t="s">
        <v>705</v>
      </c>
      <c r="X74" s="1450">
        <v>0</v>
      </c>
    </row>
    <row s="62286" customFormat="1" customHeight="1" ht="45" hidden="1">
      <c r="A75" s="3084"/>
      <c r="B75" s="1203" t="s">
        <v>662</v>
      </c>
      <c r="D75" s="1357" t="s">
        <v>726</v>
      </c>
      <c r="E75" s="1359" t="s">
        <v>979</v>
      </c>
      <c r="F75" s="1413" t="s">
        <v>381</v>
      </c>
      <c r="G75" s="1074"/>
      <c r="H75" s="1715"/>
      <c r="I75" s="1074"/>
      <c r="J75" s="1715"/>
      <c r="K75" s="981" t="s">
        <v>705</v>
      </c>
      <c r="X75" s="1450">
        <v>0</v>
      </c>
    </row>
    <row s="62286" customFormat="1" customHeight="1" ht="11.549999999999999">
      <c r="A76" s="1725"/>
      <c r="B76" s="1210"/>
      <c r="D76" s="1726"/>
      <c r="E76" s="1727"/>
      <c r="X76" s="1201">
        <v>11</v>
      </c>
    </row>
    <row s="62286" customFormat="1" customHeight="1" ht="11.25" hidden="1">
      <c r="A77" s="3084" t="s">
        <v>980</v>
      </c>
      <c r="B77" s="1203"/>
      <c r="D77" s="1357">
        <v>1</v>
      </c>
      <c r="E77" s="1358" t="s">
        <v>981</v>
      </c>
      <c r="F77" s="1413" t="s">
        <v>883</v>
      </c>
      <c r="G77" s="1416"/>
      <c r="H77" s="1715"/>
      <c r="I77" s="1416"/>
      <c r="J77" s="1715"/>
      <c r="K77" s="981" t="s">
        <v>982</v>
      </c>
      <c r="X77" s="1450">
        <v>0</v>
      </c>
    </row>
    <row s="62286" customFormat="1" customHeight="1" ht="11.25" hidden="1">
      <c r="A78" s="3084"/>
      <c r="B78" s="1203"/>
      <c r="D78" s="1357" t="s">
        <v>103</v>
      </c>
      <c r="E78" s="1358" t="s">
        <v>983</v>
      </c>
      <c r="F78" s="1413" t="s">
        <v>883</v>
      </c>
      <c r="G78" s="1416"/>
      <c r="H78" s="1715"/>
      <c r="I78" s="1416"/>
      <c r="J78" s="1715"/>
      <c r="K78" s="981" t="s">
        <v>984</v>
      </c>
      <c r="X78" s="1450">
        <v>0</v>
      </c>
    </row>
    <row s="62286" customFormat="1" customHeight="1" ht="22.5" hidden="1">
      <c r="A79" s="3084"/>
      <c r="B79" s="1203"/>
      <c r="D79" s="1357" t="s">
        <v>91</v>
      </c>
      <c r="E79" s="1414" t="s">
        <v>985</v>
      </c>
      <c r="F79" s="1352" t="s">
        <v>932</v>
      </c>
      <c r="G79" s="1416"/>
      <c r="H79" s="1715"/>
      <c r="I79" s="1416"/>
      <c r="J79" s="1715"/>
      <c r="K79" s="981" t="s">
        <v>986</v>
      </c>
      <c r="X79" s="1450">
        <v>0</v>
      </c>
    </row>
    <row s="62286" customFormat="1" customHeight="1" ht="11.25" hidden="1">
      <c r="A80" s="3084"/>
      <c r="B80" s="1203"/>
      <c r="D80" s="1357" t="s">
        <v>399</v>
      </c>
      <c r="E80" s="1415" t="s">
        <v>987</v>
      </c>
      <c r="F80" s="1352" t="s">
        <v>932</v>
      </c>
      <c r="G80" s="1416"/>
      <c r="H80" s="1715"/>
      <c r="I80" s="1416"/>
      <c r="J80" s="1715"/>
      <c r="K80" s="981"/>
      <c r="X80" s="1450">
        <v>0</v>
      </c>
    </row>
    <row s="62286" customFormat="1" customHeight="1" ht="11.25" hidden="1">
      <c r="A81" s="3084"/>
      <c r="B81" s="1203"/>
      <c r="D81" s="1357" t="s">
        <v>407</v>
      </c>
      <c r="E81" s="1415" t="s">
        <v>988</v>
      </c>
      <c r="F81" s="1352" t="s">
        <v>932</v>
      </c>
      <c r="G81" s="1416"/>
      <c r="H81" s="1715"/>
      <c r="I81" s="1416"/>
      <c r="J81" s="1715"/>
      <c r="K81" s="981"/>
      <c r="X81" s="1450">
        <v>0</v>
      </c>
    </row>
    <row s="62286" customFormat="1" customHeight="1" ht="11.25" hidden="1">
      <c r="A82" s="3084"/>
      <c r="B82" s="1203"/>
      <c r="D82" s="1357" t="s">
        <v>409</v>
      </c>
      <c r="E82" s="1415" t="s">
        <v>989</v>
      </c>
      <c r="F82" s="1352" t="s">
        <v>932</v>
      </c>
      <c r="G82" s="1416"/>
      <c r="H82" s="1715"/>
      <c r="I82" s="1416"/>
      <c r="J82" s="1715"/>
      <c r="K82" s="981"/>
      <c r="X82" s="1450">
        <v>0</v>
      </c>
    </row>
    <row s="62286" customFormat="1" customHeight="1" ht="11.25" hidden="1">
      <c r="A83" s="3084"/>
      <c r="B83" s="1203"/>
      <c r="D83" s="1357" t="s">
        <v>411</v>
      </c>
      <c r="E83" s="1415" t="s">
        <v>990</v>
      </c>
      <c r="F83" s="1352" t="s">
        <v>932</v>
      </c>
      <c r="G83" s="1416"/>
      <c r="H83" s="1715"/>
      <c r="I83" s="1416"/>
      <c r="J83" s="1715"/>
      <c r="K83" s="981"/>
      <c r="X83" s="1450">
        <v>0</v>
      </c>
    </row>
    <row s="62286" customFormat="1" customHeight="1" ht="11.25" hidden="1">
      <c r="A84" s="3084"/>
      <c r="B84" s="1203"/>
      <c r="D84" s="1357" t="s">
        <v>991</v>
      </c>
      <c r="E84" s="1415" t="s">
        <v>992</v>
      </c>
      <c r="F84" s="1352" t="s">
        <v>932</v>
      </c>
      <c r="G84" s="1416"/>
      <c r="H84" s="1715"/>
      <c r="I84" s="1416"/>
      <c r="J84" s="1715"/>
      <c r="K84" s="981"/>
      <c r="X84" s="1450">
        <v>0</v>
      </c>
    </row>
    <row s="62286" customFormat="1" customHeight="1" ht="11.25" hidden="1">
      <c r="A85" s="3084"/>
      <c r="B85" s="1203"/>
      <c r="D85" s="1357" t="s">
        <v>993</v>
      </c>
      <c r="E85" s="1415" t="s">
        <v>994</v>
      </c>
      <c r="F85" s="1352" t="s">
        <v>932</v>
      </c>
      <c r="G85" s="1416"/>
      <c r="H85" s="1715"/>
      <c r="I85" s="1416"/>
      <c r="J85" s="1715"/>
      <c r="K85" s="981"/>
      <c r="X85" s="1450">
        <v>0</v>
      </c>
    </row>
    <row s="62286" customFormat="1" customHeight="1" ht="11.25" hidden="1">
      <c r="A86" s="3084"/>
      <c r="B86" s="1203"/>
      <c r="D86" s="1357" t="s">
        <v>995</v>
      </c>
      <c r="E86" s="1415" t="s">
        <v>996</v>
      </c>
      <c r="F86" s="1352" t="s">
        <v>932</v>
      </c>
      <c r="G86" s="1416"/>
      <c r="H86" s="1715"/>
      <c r="I86" s="1416"/>
      <c r="J86" s="1715"/>
      <c r="K86" s="981"/>
      <c r="X86" s="1450">
        <v>0</v>
      </c>
    </row>
    <row s="62286" customFormat="1" customHeight="1" ht="45" hidden="1">
      <c r="A87" s="3084"/>
      <c r="B87" s="1203"/>
      <c r="D87" s="1357" t="s">
        <v>92</v>
      </c>
      <c r="E87" s="1358" t="s">
        <v>997</v>
      </c>
      <c r="F87" s="1352" t="s">
        <v>932</v>
      </c>
      <c r="G87" s="1416"/>
      <c r="H87" s="1715"/>
      <c r="I87" s="1416"/>
      <c r="J87" s="1715"/>
      <c r="K87" s="981" t="s">
        <v>998</v>
      </c>
      <c r="X87" s="1450">
        <v>0</v>
      </c>
    </row>
    <row s="62286" customFormat="1" customHeight="1" ht="11.25" hidden="1">
      <c r="A88" s="3084"/>
      <c r="B88" s="1203"/>
      <c r="D88" s="1357" t="s">
        <v>827</v>
      </c>
      <c r="E88" s="1415" t="s">
        <v>987</v>
      </c>
      <c r="F88" s="1352" t="s">
        <v>932</v>
      </c>
      <c r="G88" s="1416"/>
      <c r="H88" s="1715"/>
      <c r="I88" s="1416"/>
      <c r="J88" s="1715"/>
      <c r="K88" s="981"/>
      <c r="X88" s="1450">
        <v>0</v>
      </c>
    </row>
    <row s="62286" customFormat="1" customHeight="1" ht="11.25" hidden="1">
      <c r="A89" s="3084"/>
      <c r="B89" s="1203"/>
      <c r="D89" s="1357" t="s">
        <v>869</v>
      </c>
      <c r="E89" s="1415" t="s">
        <v>988</v>
      </c>
      <c r="F89" s="1352" t="s">
        <v>932</v>
      </c>
      <c r="G89" s="1416"/>
      <c r="H89" s="1715"/>
      <c r="I89" s="1416"/>
      <c r="J89" s="1715"/>
      <c r="K89" s="981"/>
      <c r="X89" s="1450">
        <v>0</v>
      </c>
    </row>
    <row s="62286" customFormat="1" customHeight="1" ht="11.25" hidden="1">
      <c r="A90" s="3084"/>
      <c r="B90" s="1203"/>
      <c r="D90" s="1357" t="s">
        <v>872</v>
      </c>
      <c r="E90" s="1415" t="s">
        <v>989</v>
      </c>
      <c r="F90" s="1352" t="s">
        <v>932</v>
      </c>
      <c r="G90" s="1416"/>
      <c r="H90" s="1715"/>
      <c r="I90" s="1416"/>
      <c r="J90" s="1715"/>
      <c r="K90" s="981"/>
      <c r="X90" s="1450">
        <v>0</v>
      </c>
    </row>
    <row s="62286" customFormat="1" customHeight="1" ht="11.25" hidden="1">
      <c r="A91" s="3084"/>
      <c r="B91" s="1203"/>
      <c r="D91" s="1357" t="s">
        <v>950</v>
      </c>
      <c r="E91" s="1415" t="s">
        <v>990</v>
      </c>
      <c r="F91" s="1352" t="s">
        <v>932</v>
      </c>
      <c r="G91" s="1416"/>
      <c r="H91" s="1715"/>
      <c r="I91" s="1416"/>
      <c r="J91" s="1715"/>
      <c r="K91" s="981"/>
      <c r="X91" s="1450">
        <v>0</v>
      </c>
    </row>
    <row s="62286" customFormat="1" customHeight="1" ht="11.25" hidden="1">
      <c r="A92" s="3084"/>
      <c r="B92" s="1203"/>
      <c r="D92" s="1357" t="s">
        <v>952</v>
      </c>
      <c r="E92" s="1415" t="s">
        <v>992</v>
      </c>
      <c r="F92" s="1352" t="s">
        <v>932</v>
      </c>
      <c r="G92" s="1416"/>
      <c r="H92" s="1715"/>
      <c r="I92" s="1416"/>
      <c r="J92" s="1715"/>
      <c r="K92" s="981"/>
      <c r="X92" s="1450">
        <v>0</v>
      </c>
    </row>
    <row s="62286" customFormat="1" customHeight="1" ht="11.25" hidden="1">
      <c r="A93" s="3084"/>
      <c r="B93" s="1203"/>
      <c r="D93" s="1357" t="s">
        <v>999</v>
      </c>
      <c r="E93" s="1415" t="s">
        <v>994</v>
      </c>
      <c r="F93" s="1352" t="s">
        <v>932</v>
      </c>
      <c r="G93" s="1416"/>
      <c r="H93" s="1715"/>
      <c r="I93" s="1416"/>
      <c r="J93" s="1715"/>
      <c r="K93" s="981"/>
      <c r="X93" s="1450">
        <v>0</v>
      </c>
    </row>
    <row s="62286" customFormat="1" customHeight="1" ht="11.25" hidden="1">
      <c r="A94" s="3084"/>
      <c r="B94" s="1203"/>
      <c r="D94" s="1357" t="s">
        <v>1000</v>
      </c>
      <c r="E94" s="1415" t="s">
        <v>996</v>
      </c>
      <c r="F94" s="1352" t="s">
        <v>932</v>
      </c>
      <c r="G94" s="1416"/>
      <c r="H94" s="1715"/>
      <c r="I94" s="1416"/>
      <c r="J94" s="1715"/>
      <c r="K94" s="981"/>
      <c r="X94" s="1450">
        <v>0</v>
      </c>
    </row>
    <row s="62286" customFormat="1" customHeight="1" ht="24.75" hidden="1">
      <c r="A95" s="3084"/>
      <c r="B95" s="1203"/>
      <c r="D95" s="1357" t="s">
        <v>119</v>
      </c>
      <c r="E95" s="1358" t="s">
        <v>1001</v>
      </c>
      <c r="F95" s="1417" t="s">
        <v>632</v>
      </c>
      <c r="G95" s="1419"/>
      <c r="H95" s="1715"/>
      <c r="I95" s="1419"/>
      <c r="J95" s="1715"/>
      <c r="K95" s="981" t="s">
        <v>1002</v>
      </c>
      <c r="X95" s="1450">
        <v>0</v>
      </c>
    </row>
    <row s="62286" customFormat="1" customHeight="1" ht="33.75" hidden="1">
      <c r="A96" s="3084"/>
      <c r="B96" s="1203"/>
      <c r="D96" s="1357" t="s">
        <v>93</v>
      </c>
      <c r="E96" s="1358" t="s">
        <v>1003</v>
      </c>
      <c r="F96" s="1418" t="s">
        <v>893</v>
      </c>
      <c r="G96" s="1420"/>
      <c r="H96" s="1715"/>
      <c r="I96" s="1420"/>
      <c r="J96" s="1715"/>
      <c r="K96" s="981"/>
      <c r="X96" s="1450">
        <v>0</v>
      </c>
    </row>
    <row s="62286" customFormat="1" customHeight="1" ht="22.5" hidden="1">
      <c r="A97" s="3084"/>
      <c r="B97" s="1203" t="s">
        <v>662</v>
      </c>
      <c r="D97" s="1357" t="s">
        <v>94</v>
      </c>
      <c r="E97" s="1358" t="s">
        <v>1004</v>
      </c>
      <c r="F97" s="1418" t="s">
        <v>381</v>
      </c>
      <c r="G97" s="1077"/>
      <c r="H97" s="1715"/>
      <c r="I97" s="1077"/>
      <c r="J97" s="1715"/>
      <c r="K97" s="981" t="s">
        <v>705</v>
      </c>
      <c r="X97" s="1450">
        <v>0</v>
      </c>
    </row>
    <row s="62286" customFormat="1" customHeight="1" ht="45" hidden="1">
      <c r="A98" s="3084"/>
      <c r="B98" s="1203" t="s">
        <v>662</v>
      </c>
      <c r="D98" s="1357" t="s">
        <v>1005</v>
      </c>
      <c r="E98" s="1359" t="s">
        <v>1006</v>
      </c>
      <c r="F98" s="1413" t="s">
        <v>381</v>
      </c>
      <c r="G98" s="1077"/>
      <c r="H98" s="1715"/>
      <c r="I98" s="1077"/>
      <c r="J98" s="1715"/>
      <c r="K98" s="981" t="s">
        <v>705</v>
      </c>
      <c r="X98" s="1450">
        <v>0</v>
      </c>
    </row>
    <row s="62286" customFormat="1" customHeight="1" ht="95.25" hidden="1">
      <c r="A99" s="3084"/>
      <c r="B99" s="1203" t="s">
        <v>662</v>
      </c>
      <c r="D99" s="1357" t="s">
        <v>120</v>
      </c>
      <c r="E99" s="1358" t="s">
        <v>1007</v>
      </c>
      <c r="F99" s="1413" t="s">
        <v>381</v>
      </c>
      <c r="G99" s="1077"/>
      <c r="H99" s="1715"/>
      <c r="I99" s="1077"/>
      <c r="J99" s="1715"/>
      <c r="K99" s="981" t="s">
        <v>705</v>
      </c>
      <c r="X99" s="1450">
        <v>0</v>
      </c>
    </row>
    <row s="62286" customFormat="1" customHeight="1" ht="22.5" hidden="1">
      <c r="A100" s="3084"/>
      <c r="B100" s="1203" t="s">
        <v>662</v>
      </c>
      <c r="D100" s="1357" t="s">
        <v>156</v>
      </c>
      <c r="E100" s="1358" t="s">
        <v>1008</v>
      </c>
      <c r="F100" s="1413" t="s">
        <v>381</v>
      </c>
      <c r="G100" s="1077"/>
      <c r="H100" s="1715"/>
      <c r="I100" s="1077"/>
      <c r="J100" s="1715"/>
      <c r="K100" s="981" t="s">
        <v>705</v>
      </c>
      <c r="X100" s="1450">
        <v>0</v>
      </c>
    </row>
    <row s="62286" customFormat="1" customHeight="1" ht="11.549999999999999">
      <c r="A101" s="1725"/>
      <c r="B101" s="1210"/>
      <c r="D101" s="1726"/>
      <c r="E101" s="1727"/>
      <c r="X101" s="1201">
        <v>11</v>
      </c>
    </row>
    <row customHeight="1" ht="22.5" hidden="1">
      <c r="A102" s="1228" t="s">
        <v>83</v>
      </c>
      <c r="B102" s="1203">
        <v>0</v>
      </c>
      <c r="C102" s="1197">
        <v>3</v>
      </c>
      <c r="D102" s="1197">
        <v>7</v>
      </c>
      <c r="E102" s="1197">
        <v>69</v>
      </c>
      <c r="F102" s="1197">
        <v>10</v>
      </c>
      <c r="G102" s="1197">
        <v>0</v>
      </c>
      <c r="H102" s="1197">
        <v>0</v>
      </c>
      <c r="I102" s="1450">
        <v>43</v>
      </c>
      <c r="J102" s="1450">
        <v>43</v>
      </c>
      <c r="K102" s="1197">
        <v>73</v>
      </c>
      <c r="L102" s="1197">
        <v>3</v>
      </c>
      <c r="M102" s="1197">
        <v>10</v>
      </c>
      <c r="N102" s="1197">
        <v>10</v>
      </c>
      <c r="O102" s="1197">
        <v>10</v>
      </c>
      <c r="P102" s="1197">
        <v>10</v>
      </c>
      <c r="Q102" s="1197">
        <v>10</v>
      </c>
      <c r="R102" s="1197">
        <v>10</v>
      </c>
      <c r="S102" s="1197">
        <v>10</v>
      </c>
      <c r="T102" s="1197">
        <v>10</v>
      </c>
      <c r="U102" s="1197">
        <v>10</v>
      </c>
      <c r="V102" s="1197">
        <v>10</v>
      </c>
      <c r="W102" s="1197">
        <v>10</v>
      </c>
      <c r="X102" s="1197">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379359-233F-5EE9-3F5D-49A15A45DD9E}"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63055" width="6.421875" hidden="1" customWidth="1"/>
    <col min="2" max="2" style="63055" width="2.00390625" hidden="1" customWidth="1"/>
    <col min="3" max="3" style="63055" width="3.00390625" customWidth="1"/>
    <col min="4" max="4" style="63055" width="4.00390625" customWidth="1"/>
    <col min="5" max="5" style="63055" width="44.00390625" customWidth="1"/>
    <col min="6" max="6" style="63055" width="6.421875" customWidth="1"/>
    <col min="7" max="7" style="63055" width="4.00390625" customWidth="1"/>
    <col min="8" max="8" style="63055" width="5.00390625" customWidth="1"/>
    <col min="9" max="9" style="63055" width="52.00390625" customWidth="1"/>
    <col min="10" max="10" style="63055" width="7.00390625" customWidth="1"/>
    <col min="11" max="11" style="63055" width="3.00390625" customWidth="1"/>
    <col min="12" max="12" style="63055" width="6.00390625" customWidth="1"/>
    <col min="13" max="13" style="63055" width="56.00390625" customWidth="1"/>
    <col min="14" max="14" style="60321" width="8.00390625" customWidth="1"/>
    <col min="15" max="20" style="62151" width="9.140625" hidden="1"/>
    <col min="21" max="24" style="62588" width="9.140625" hidden="1"/>
    <col min="25" max="37" style="60321" width="9.140625" hidden="1"/>
    <col min="38" max="38" style="60321" width="8.00390625" customWidth="1"/>
    <col min="39" max="39" style="63055" width="9.140625" hidden="1"/>
  </cols>
  <sheetData>
    <row customHeight="1" ht="11.25" hidden="1">
      <c r="AM1" s="1275" t="s">
        <v>14</v>
      </c>
    </row>
    <row customHeight="1" ht="11.25" hidden="1">
      <c r="AM2" s="1275">
        <v>0</v>
      </c>
    </row>
    <row customHeight="1" ht="11.549999999999999">
      <c r="AM3" s="1275">
        <v>11</v>
      </c>
    </row>
    <row customHeight="1" ht="35.699999999999996">
      <c r="A4" s="1277"/>
      <c r="B4" s="1277"/>
      <c r="D4" s="2811"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812"/>
      <c r="F4" s="2812"/>
      <c r="G4" s="2812"/>
      <c r="H4" s="2812"/>
      <c r="I4" s="2813"/>
      <c r="J4" s="1276"/>
      <c r="K4" s="1276"/>
      <c r="L4" s="1276"/>
      <c r="M4" s="1276"/>
      <c r="AM4" s="1275">
        <v>34</v>
      </c>
    </row>
    <row s="57710" customFormat="1" customHeight="1" ht="14.699999999999998">
      <c r="A5" s="1277"/>
      <c r="B5" s="1277"/>
      <c r="C5" s="1277"/>
      <c r="D5" s="2814" t="str">
        <f>IF(org=0,"Не определено",org)</f>
        <v>АО "ДГК"</v>
      </c>
      <c r="E5" s="2815"/>
      <c r="F5" s="2815"/>
      <c r="G5" s="2815"/>
      <c r="H5" s="2815"/>
      <c r="I5" s="2816"/>
      <c r="J5" s="1278"/>
      <c r="K5" s="1278"/>
      <c r="L5" s="1278"/>
      <c r="M5" s="1278"/>
      <c r="N5" s="1278"/>
      <c r="O5" s="1562"/>
      <c r="P5" s="1562"/>
      <c r="Q5" s="1562"/>
      <c r="R5" s="1562"/>
      <c r="S5" s="1562"/>
      <c r="T5" s="1562"/>
      <c r="U5" s="1953"/>
      <c r="V5" s="1953"/>
      <c r="W5" s="1953"/>
      <c r="X5" s="1953"/>
      <c r="Y5" s="1278"/>
      <c r="Z5" s="1278"/>
      <c r="AA5" s="1278"/>
      <c r="AB5" s="1278"/>
      <c r="AC5" s="1278"/>
      <c r="AD5" s="1278"/>
      <c r="AE5" s="1278"/>
      <c r="AF5" s="1278"/>
      <c r="AG5" s="1278"/>
      <c r="AH5" s="1278"/>
      <c r="AI5" s="1278"/>
      <c r="AJ5" s="1278"/>
      <c r="AK5" s="1278"/>
      <c r="AL5" s="1278"/>
      <c r="AM5" s="1279">
        <v>14</v>
      </c>
    </row>
    <row s="57710" customFormat="1" customHeight="1" ht="6.3">
      <c r="A6" s="2817"/>
      <c r="B6" s="2817"/>
      <c r="C6" s="2817"/>
      <c r="D6" s="2817"/>
      <c r="E6" s="2817"/>
      <c r="F6" s="2817"/>
      <c r="G6" s="1280"/>
      <c r="H6" s="1280"/>
      <c r="I6" s="1280"/>
      <c r="J6" s="1280"/>
      <c r="K6" s="1280"/>
      <c r="N6" s="1282"/>
      <c r="O6" s="2106"/>
      <c r="P6" s="2106"/>
      <c r="Q6" s="2106"/>
      <c r="R6" s="2106"/>
      <c r="S6" s="2106"/>
      <c r="T6" s="2106"/>
      <c r="U6" s="1956"/>
      <c r="V6" s="1956"/>
      <c r="W6" s="1956"/>
      <c r="X6" s="1956"/>
      <c r="Y6" s="1282"/>
      <c r="Z6" s="1282"/>
      <c r="AA6" s="1282"/>
      <c r="AB6" s="1282"/>
      <c r="AC6" s="1282"/>
      <c r="AD6" s="1282"/>
      <c r="AE6" s="1282"/>
      <c r="AF6" s="1282"/>
      <c r="AG6" s="1282"/>
      <c r="AH6" s="1282"/>
      <c r="AI6" s="1282"/>
      <c r="AJ6" s="1282"/>
      <c r="AK6" s="1282"/>
      <c r="AL6" s="1282"/>
      <c r="AM6" s="1281">
        <v>6</v>
      </c>
    </row>
    <row customHeight="1" ht="45.75" hidden="1">
      <c r="E7" s="282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23"/>
      <c r="G7" s="2823"/>
      <c r="H7" s="2823"/>
      <c r="I7" s="2823"/>
      <c r="J7" s="2823"/>
      <c r="K7" s="2823"/>
      <c r="L7" s="2823"/>
      <c r="M7" s="2823"/>
      <c r="AM7" s="1275">
        <v>0</v>
      </c>
    </row>
    <row s="57710" customFormat="1" customHeight="1" ht="6.3">
      <c r="A8" s="1283"/>
      <c r="B8" s="1283"/>
      <c r="C8" s="1283"/>
      <c r="D8" s="1283"/>
      <c r="E8" s="1283"/>
      <c r="F8" s="1283"/>
      <c r="G8" s="1283"/>
      <c r="H8" s="1283"/>
      <c r="I8" s="1283"/>
      <c r="J8" s="1283"/>
      <c r="K8" s="1283"/>
      <c r="L8" s="1283"/>
      <c r="M8" s="1281"/>
      <c r="N8" s="1278"/>
      <c r="O8" s="1562"/>
      <c r="P8" s="1562"/>
      <c r="Q8" s="1562"/>
      <c r="R8" s="1562"/>
      <c r="S8" s="1562"/>
      <c r="T8" s="1562"/>
      <c r="U8" s="1953"/>
      <c r="V8" s="1953"/>
      <c r="W8" s="1953"/>
      <c r="X8" s="1953"/>
      <c r="Y8" s="1278"/>
      <c r="Z8" s="1278"/>
      <c r="AA8" s="1278"/>
      <c r="AB8" s="1278"/>
      <c r="AC8" s="1278"/>
      <c r="AD8" s="1278"/>
      <c r="AE8" s="1278"/>
      <c r="AF8" s="1278"/>
      <c r="AG8" s="1278"/>
      <c r="AH8" s="1278"/>
      <c r="AI8" s="1278"/>
      <c r="AJ8" s="1278"/>
      <c r="AK8" s="1278"/>
      <c r="AL8" s="1278"/>
      <c r="AM8" s="1279">
        <v>6</v>
      </c>
    </row>
    <row customHeight="1" ht="18.75">
      <c r="A9" s="2818"/>
      <c r="B9" s="1015"/>
      <c r="C9" s="1015"/>
      <c r="D9" s="2819" t="s">
        <v>114</v>
      </c>
      <c r="E9" s="2819"/>
      <c r="F9" s="2820" t="s">
        <v>115</v>
      </c>
      <c r="G9" s="2821"/>
      <c r="H9" s="2821"/>
      <c r="I9" s="2821"/>
      <c r="J9" s="2824" t="s">
        <v>116</v>
      </c>
      <c r="K9" s="2824"/>
      <c r="L9" s="2824"/>
      <c r="M9" s="2824"/>
      <c r="AM9" s="1275">
        <v>18</v>
      </c>
    </row>
    <row customHeight="1" ht="24">
      <c r="A10" s="2818"/>
      <c r="B10" s="1284"/>
      <c r="C10" s="1217"/>
      <c r="D10" s="1215" t="s">
        <v>89</v>
      </c>
      <c r="E10" s="1215" t="s">
        <v>90</v>
      </c>
      <c r="F10" s="1215" t="s">
        <v>117</v>
      </c>
      <c r="G10" s="2825" t="s">
        <v>89</v>
      </c>
      <c r="H10" s="2826"/>
      <c r="I10" s="1215" t="s">
        <v>90</v>
      </c>
      <c r="J10" s="1215" t="s">
        <v>117</v>
      </c>
      <c r="K10" s="2825" t="s">
        <v>89</v>
      </c>
      <c r="L10" s="2826"/>
      <c r="M10" s="1215" t="s">
        <v>90</v>
      </c>
      <c r="N10" s="2319"/>
      <c r="AM10" s="1275">
        <v>23</v>
      </c>
    </row>
    <row s="63055" customFormat="1" customHeight="1" ht="11.25" hidden="1">
      <c r="A11" s="1285"/>
      <c r="B11" s="1285"/>
      <c r="C11" s="1285"/>
      <c r="D11" s="1286" t="s">
        <v>118</v>
      </c>
      <c r="E11" s="1286" t="s">
        <v>103</v>
      </c>
      <c r="F11" s="1286" t="s">
        <v>91</v>
      </c>
      <c r="G11" s="2807" t="s">
        <v>92</v>
      </c>
      <c r="H11" s="2808"/>
      <c r="I11" s="1286" t="s">
        <v>119</v>
      </c>
      <c r="J11" s="1286" t="s">
        <v>93</v>
      </c>
      <c r="K11" s="2809" t="s">
        <v>94</v>
      </c>
      <c r="L11" s="2810"/>
      <c r="M11" s="1286" t="s">
        <v>120</v>
      </c>
      <c r="N11" s="2318"/>
      <c r="O11" s="2105"/>
      <c r="P11" s="2107"/>
      <c r="Q11" s="2107"/>
      <c r="R11" s="2107"/>
      <c r="S11" s="2107"/>
      <c r="T11" s="2107"/>
      <c r="U11" s="1957"/>
      <c r="V11" s="1957"/>
      <c r="W11" s="1957"/>
      <c r="X11" s="1957"/>
      <c r="Y11" s="1287"/>
      <c r="Z11" s="1287"/>
      <c r="AA11" s="1287"/>
      <c r="AB11" s="1287"/>
      <c r="AC11" s="1287"/>
      <c r="AD11" s="1287"/>
      <c r="AE11" s="1287"/>
      <c r="AF11" s="1287"/>
      <c r="AG11" s="1287"/>
      <c r="AH11" s="1287"/>
      <c r="AI11" s="1287"/>
      <c r="AJ11" s="1287"/>
      <c r="AK11" s="1287"/>
      <c r="AL11" s="1287"/>
      <c r="AM11" s="1288">
        <v>0</v>
      </c>
    </row>
    <row customHeight="1" ht="1.05">
      <c r="A12" s="1289"/>
      <c r="B12" s="1290"/>
      <c r="C12" s="1290"/>
      <c r="D12" s="1291"/>
      <c r="E12" s="1059"/>
      <c r="F12" s="1292"/>
      <c r="G12" s="1751"/>
      <c r="H12" s="1751"/>
      <c r="I12" s="1292"/>
      <c r="J12" s="1292"/>
      <c r="K12" s="866"/>
      <c r="L12" s="1059"/>
      <c r="M12" s="1293"/>
      <c r="N12" s="2319"/>
      <c r="O12" s="2105" t="s">
        <v>121</v>
      </c>
      <c r="P12" s="2105" t="s">
        <v>122</v>
      </c>
      <c r="Q12" s="2105" t="s">
        <v>123</v>
      </c>
      <c r="R12" s="2105" t="s">
        <v>124</v>
      </c>
      <c r="AM12" s="1275">
        <v>1</v>
      </c>
    </row>
    <row s="63055" customFormat="1" customHeight="1" ht="15.75">
      <c r="A13" s="985"/>
      <c r="B13" s="985"/>
      <c r="C13" s="1218"/>
      <c r="D13" s="2800" t="s">
        <v>118</v>
      </c>
      <c r="E13" s="2801"/>
      <c r="F13" s="2804" t="s">
        <v>67</v>
      </c>
      <c r="G13" s="2805"/>
      <c r="H13" s="2806">
        <v>1</v>
      </c>
      <c r="I13" s="2797" t="str">
        <f>IF(U13="","",INDEX(TERRITORY_MR_LIST,MATCH(U13,TERRITORY_LIST_ID,0)))</f>
        <v/>
      </c>
      <c r="J13" s="2799" t="s">
        <v>19</v>
      </c>
      <c r="K13" s="1294"/>
      <c r="L13" s="1219" t="s">
        <v>118</v>
      </c>
      <c r="M13" s="1295" t="s">
        <v>28</v>
      </c>
      <c r="N13" s="1504"/>
      <c r="O13" s="2108" t="s">
        <v>125</v>
      </c>
      <c r="P13" s="2105">
        <f>$E$13</f>
        <v>0</v>
      </c>
      <c r="Q13" s="2105" t="str">
        <f>IF($F$13="нет","без дифференциации",$I$13)</f>
        <v/>
      </c>
      <c r="R13" s="2105" t="str">
        <f>IF($J$13="нет","без дифференциации",M13)</f>
        <v>без дифференциации</v>
      </c>
      <c r="S13" s="2108"/>
      <c r="T13" s="2108"/>
      <c r="U13" s="1958"/>
      <c r="V13" s="1958"/>
      <c r="W13" s="1958"/>
      <c r="X13" s="1958"/>
      <c r="Y13" s="1296" t="s">
        <v>126</v>
      </c>
      <c r="Z13" s="1296">
        <v>1705000</v>
      </c>
      <c r="AA13" s="1296"/>
      <c r="AB13" s="1296"/>
      <c r="AC13" s="1296"/>
      <c r="AD13" s="1296"/>
      <c r="AE13" s="1296"/>
      <c r="AF13" s="1296"/>
      <c r="AG13" s="1296"/>
      <c r="AH13" s="1296"/>
      <c r="AI13" s="1296"/>
      <c r="AJ13" s="1296"/>
      <c r="AK13" s="1296"/>
      <c r="AL13" s="1296"/>
      <c r="AM13" s="1298">
        <v>15</v>
      </c>
    </row>
    <row s="63055" customFormat="1" customHeight="1" ht="15.75">
      <c r="A14" s="985"/>
      <c r="B14" s="985"/>
      <c r="C14" s="868"/>
      <c r="D14" s="2800"/>
      <c r="E14" s="2802"/>
      <c r="F14" s="2799"/>
      <c r="G14" s="2805"/>
      <c r="H14" s="2806"/>
      <c r="I14" s="2798"/>
      <c r="J14" s="2799"/>
      <c r="K14" s="1113"/>
      <c r="L14" s="869"/>
      <c r="M14" s="1299" t="s">
        <v>127</v>
      </c>
      <c r="N14" s="1504"/>
      <c r="O14" s="2108"/>
      <c r="P14" s="2105"/>
      <c r="Q14" s="2105"/>
      <c r="R14" s="2105"/>
      <c r="S14" s="2108"/>
      <c r="T14" s="2108"/>
      <c r="U14" s="1958"/>
      <c r="V14" s="1958"/>
      <c r="W14" s="1958"/>
      <c r="X14" s="1958"/>
      <c r="Y14" s="1296"/>
      <c r="Z14" s="1296"/>
      <c r="AA14" s="1296"/>
      <c r="AB14" s="1296"/>
      <c r="AC14" s="1296"/>
      <c r="AD14" s="1296"/>
      <c r="AE14" s="1296"/>
      <c r="AF14" s="1296"/>
      <c r="AG14" s="1296"/>
      <c r="AH14" s="1296"/>
      <c r="AI14" s="1296"/>
      <c r="AJ14" s="1296"/>
      <c r="AK14" s="1296"/>
      <c r="AL14" s="1296"/>
      <c r="AM14" s="1298">
        <v>15</v>
      </c>
    </row>
    <row s="63055" customFormat="1" customHeight="1" ht="15.75">
      <c r="A15" s="985"/>
      <c r="B15" s="985"/>
      <c r="C15" s="868"/>
      <c r="D15" s="2800"/>
      <c r="E15" s="2803"/>
      <c r="F15" s="2799"/>
      <c r="G15" s="1752"/>
      <c r="H15" s="1753"/>
      <c r="I15" s="1272" t="s">
        <v>128</v>
      </c>
      <c r="J15" s="869"/>
      <c r="K15" s="869"/>
      <c r="L15" s="869"/>
      <c r="M15" s="1300"/>
      <c r="N15" s="1504"/>
      <c r="O15" s="2108"/>
      <c r="P15" s="2105"/>
      <c r="Q15" s="2105"/>
      <c r="R15" s="2105"/>
      <c r="S15" s="2108"/>
      <c r="T15" s="2108"/>
      <c r="U15" s="1958"/>
      <c r="V15" s="1958"/>
      <c r="W15" s="1958"/>
      <c r="X15" s="1958"/>
      <c r="Y15" s="1296"/>
      <c r="Z15" s="1296"/>
      <c r="AA15" s="1296"/>
      <c r="AB15" s="1296"/>
      <c r="AC15" s="1296"/>
      <c r="AD15" s="1296"/>
      <c r="AE15" s="1296"/>
      <c r="AF15" s="1296"/>
      <c r="AG15" s="1296"/>
      <c r="AH15" s="1296"/>
      <c r="AI15" s="1296"/>
      <c r="AJ15" s="1296"/>
      <c r="AK15" s="1296"/>
      <c r="AL15" s="1296"/>
      <c r="AM15" s="1298">
        <v>15</v>
      </c>
    </row>
    <row customHeight="1" ht="15.75">
      <c r="A16" s="1301"/>
      <c r="B16" s="827"/>
      <c r="C16" s="1498"/>
      <c r="D16" s="1113"/>
      <c r="E16" s="1263" t="s">
        <v>129</v>
      </c>
      <c r="F16" s="869"/>
      <c r="G16" s="869"/>
      <c r="H16" s="869"/>
      <c r="I16" s="869"/>
      <c r="J16" s="869"/>
      <c r="K16" s="869" t="s">
        <v>28</v>
      </c>
      <c r="L16" s="869"/>
      <c r="M16" s="1300"/>
      <c r="N16" s="2319"/>
      <c r="AM16" s="1275">
        <v>15</v>
      </c>
    </row>
    <row customHeight="1" ht="11.25" hidden="1">
      <c r="A17" s="1275" t="s">
        <v>83</v>
      </c>
      <c r="B17" s="1275">
        <v>0</v>
      </c>
      <c r="C17" s="1275">
        <v>3</v>
      </c>
      <c r="D17" s="1275">
        <v>4</v>
      </c>
      <c r="E17" s="1275">
        <v>44</v>
      </c>
      <c r="F17" s="1275">
        <v>6</v>
      </c>
      <c r="G17" s="1275">
        <v>4</v>
      </c>
      <c r="H17" s="1275">
        <v>5</v>
      </c>
      <c r="I17" s="1275">
        <v>52</v>
      </c>
      <c r="J17" s="1275">
        <v>6</v>
      </c>
      <c r="K17" s="1275">
        <v>3</v>
      </c>
      <c r="L17" s="1275">
        <v>6</v>
      </c>
      <c r="M17" s="1275">
        <v>56</v>
      </c>
      <c r="N17" s="1276">
        <v>8</v>
      </c>
      <c r="O17" s="2105">
        <v>0</v>
      </c>
      <c r="P17" s="2105">
        <v>0</v>
      </c>
      <c r="Q17" s="2105">
        <v>0</v>
      </c>
      <c r="R17" s="2105">
        <v>0</v>
      </c>
      <c r="S17" s="2105">
        <v>0</v>
      </c>
      <c r="T17" s="2105">
        <v>0</v>
      </c>
      <c r="U17" s="1955">
        <v>0</v>
      </c>
      <c r="V17" s="1955">
        <v>0</v>
      </c>
      <c r="W17" s="1955">
        <v>0</v>
      </c>
      <c r="X17" s="1955">
        <v>0</v>
      </c>
      <c r="Y17" s="1276">
        <v>0</v>
      </c>
      <c r="Z17" s="1276">
        <v>0</v>
      </c>
      <c r="AA17" s="1276">
        <v>0</v>
      </c>
      <c r="AB17" s="1276">
        <v>0</v>
      </c>
      <c r="AC17" s="1276">
        <v>0</v>
      </c>
      <c r="AD17" s="1276">
        <v>0</v>
      </c>
      <c r="AE17" s="1276">
        <v>0</v>
      </c>
      <c r="AF17" s="1276">
        <v>0</v>
      </c>
      <c r="AG17" s="1276">
        <v>0</v>
      </c>
      <c r="AH17" s="1276">
        <v>0</v>
      </c>
      <c r="AI17" s="1276">
        <v>0</v>
      </c>
      <c r="AJ17" s="1276">
        <v>0</v>
      </c>
      <c r="AK17" s="1276">
        <v>0</v>
      </c>
      <c r="AL17" s="1276">
        <v>8</v>
      </c>
      <c r="AM17" s="1275">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8E7CD7-B834-7F59-EAEA-7A84BFECE0B1}"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62759" width="9.140625" hidden="1" customWidth="1"/>
    <col min="2" max="2" style="62286" width="9.140625" hidden="1" customWidth="1"/>
    <col min="3" max="3" style="62111" width="4.00390625" customWidth="1"/>
    <col min="4" max="4" style="62286" width="6.00390625" customWidth="1"/>
    <col min="5" max="5" style="62286" width="36.00390625" customWidth="1"/>
    <col min="6" max="6" style="62286" width="9.00390625" customWidth="1"/>
    <col min="7" max="7" style="62286" width="25.7109375" hidden="1" customWidth="1"/>
    <col min="8" max="8" style="62286" width="33.7109375" hidden="1" customWidth="1"/>
    <col min="9" max="9" style="62286" width="25.7109375" customWidth="1"/>
    <col min="10" max="10" style="62286" width="33.00390625" customWidth="1"/>
    <col min="11" max="11" style="62148" width="93.00390625" customWidth="1"/>
    <col min="12" max="20" style="62286" width="10.00390625" customWidth="1"/>
    <col min="21" max="21" style="62545" width="10.00390625" customWidth="1"/>
    <col min="22" max="22" style="62286" width="10.57421875" hidden="1"/>
  </cols>
  <sheetData>
    <row s="62148" customFormat="1" customHeight="1" ht="22.5" hidden="1">
      <c r="C1" s="1364"/>
      <c r="G1" s="1109">
        <v>4</v>
      </c>
      <c r="I1" s="1109">
        <v>4</v>
      </c>
      <c r="U1" s="1112"/>
      <c r="V1" s="1109" t="s">
        <v>14</v>
      </c>
    </row>
    <row s="62148" customFormat="1" customHeight="1" ht="15" hidden="1">
      <c r="C2" s="1364"/>
      <c r="U2" s="1112"/>
      <c r="V2" s="1109">
        <v>0</v>
      </c>
    </row>
    <row customHeight="1" ht="22.5" hidden="1">
      <c r="A3" s="1197"/>
      <c r="B3" s="3089"/>
      <c r="C3" s="3090" t="s">
        <v>104</v>
      </c>
      <c r="D3" s="1381" t="str">
        <f>B3&amp;".1"</f>
        <v>.1</v>
      </c>
      <c r="E3" s="1382" t="s">
        <v>1009</v>
      </c>
      <c r="F3" s="1383" t="s">
        <v>381</v>
      </c>
      <c r="G3" s="1378"/>
      <c r="H3" s="1093"/>
      <c r="I3" s="1378"/>
      <c r="J3" s="1093"/>
      <c r="K3" s="981" t="s">
        <v>1010</v>
      </c>
      <c r="V3" s="1197">
        <v>0</v>
      </c>
    </row>
    <row customHeight="1" ht="15" hidden="1">
      <c r="A4" s="1197"/>
      <c r="B4" s="3089"/>
      <c r="C4" s="3090"/>
      <c r="D4" s="1381" t="str">
        <f>B3&amp;".2"</f>
        <v>.2</v>
      </c>
      <c r="E4" s="1382" t="s">
        <v>1011</v>
      </c>
      <c r="F4" s="1383" t="s">
        <v>381</v>
      </c>
      <c r="G4" s="2430" t="s">
        <v>28</v>
      </c>
      <c r="H4" s="1093"/>
      <c r="I4" s="2430" t="s">
        <v>28</v>
      </c>
      <c r="J4" s="1093"/>
      <c r="K4" s="981" t="s">
        <v>1012</v>
      </c>
      <c r="V4" s="1197">
        <v>0</v>
      </c>
    </row>
    <row s="62148" customFormat="1" customHeight="1" ht="15" hidden="1">
      <c r="C5" s="1364"/>
      <c r="U5" s="1112"/>
      <c r="V5" s="1109">
        <v>0</v>
      </c>
    </row>
    <row customHeight="1" ht="22.5" hidden="1">
      <c r="A6" s="1197"/>
      <c r="B6" s="3089"/>
      <c r="C6" s="3090" t="s">
        <v>104</v>
      </c>
      <c r="D6" s="1381" t="str">
        <f>B6&amp;".1"</f>
        <v>.1</v>
      </c>
      <c r="E6" s="1382" t="s">
        <v>1013</v>
      </c>
      <c r="F6" s="1383" t="s">
        <v>381</v>
      </c>
      <c r="G6" s="1378"/>
      <c r="H6" s="1093"/>
      <c r="I6" s="1378"/>
      <c r="J6" s="1093"/>
      <c r="K6" s="981" t="s">
        <v>1014</v>
      </c>
      <c r="V6" s="1197">
        <v>0</v>
      </c>
    </row>
    <row customHeight="1" ht="15" hidden="1">
      <c r="A7" s="1197"/>
      <c r="B7" s="3089"/>
      <c r="C7" s="3090"/>
      <c r="D7" s="1381" t="str">
        <f>B6&amp;".2"</f>
        <v>.2</v>
      </c>
      <c r="E7" s="1382" t="s">
        <v>1011</v>
      </c>
      <c r="F7" s="1383" t="s">
        <v>381</v>
      </c>
      <c r="G7" s="2430" t="s">
        <v>28</v>
      </c>
      <c r="H7" s="1093"/>
      <c r="I7" s="2430" t="s">
        <v>28</v>
      </c>
      <c r="J7" s="1093"/>
      <c r="K7" s="981" t="s">
        <v>1012</v>
      </c>
      <c r="V7" s="1197">
        <v>0</v>
      </c>
    </row>
    <row s="62148" customFormat="1" customHeight="1" ht="15" hidden="1">
      <c r="C8" s="1364"/>
      <c r="U8" s="1112"/>
      <c r="V8" s="1109">
        <v>0</v>
      </c>
    </row>
    <row customHeight="1" ht="22.5" hidden="1">
      <c r="A9" s="1197"/>
      <c r="B9" s="3089"/>
      <c r="C9" s="3090" t="s">
        <v>104</v>
      </c>
      <c r="D9" s="1381" t="str">
        <f>B9&amp;".1"</f>
        <v>.1</v>
      </c>
      <c r="E9" s="1382" t="s">
        <v>1015</v>
      </c>
      <c r="F9" s="1383" t="s">
        <v>381</v>
      </c>
      <c r="G9" s="1389" t="s">
        <v>28</v>
      </c>
      <c r="H9" s="1093" t="s">
        <v>28</v>
      </c>
      <c r="I9" s="1389" t="s">
        <v>28</v>
      </c>
      <c r="J9" s="1093" t="s">
        <v>28</v>
      </c>
      <c r="K9" s="981"/>
      <c r="V9" s="1197">
        <v>0</v>
      </c>
    </row>
    <row customHeight="1" ht="15" hidden="1">
      <c r="A10" s="1197"/>
      <c r="B10" s="3089"/>
      <c r="C10" s="3090"/>
      <c r="D10" s="1381" t="str">
        <f>B9&amp;".2"</f>
        <v>.2</v>
      </c>
      <c r="E10" s="1382" t="s">
        <v>1016</v>
      </c>
      <c r="F10" s="1383" t="s">
        <v>381</v>
      </c>
      <c r="G10" s="2424" t="s">
        <v>28</v>
      </c>
      <c r="H10" s="1093" t="s">
        <v>28</v>
      </c>
      <c r="I10" s="2424" t="s">
        <v>28</v>
      </c>
      <c r="J10" s="1093" t="s">
        <v>28</v>
      </c>
      <c r="K10" s="981" t="s">
        <v>1017</v>
      </c>
      <c r="V10" s="1197">
        <v>0</v>
      </c>
    </row>
    <row customHeight="1" ht="15" hidden="1">
      <c r="A11" s="1197"/>
      <c r="B11" s="3089"/>
      <c r="C11" s="3090"/>
      <c r="D11" s="1381" t="str">
        <f>B9&amp;".3"</f>
        <v>.3</v>
      </c>
      <c r="E11" s="1382" t="s">
        <v>1018</v>
      </c>
      <c r="F11" s="1383" t="s">
        <v>381</v>
      </c>
      <c r="G11" s="2424" t="s">
        <v>28</v>
      </c>
      <c r="H11" s="1093" t="s">
        <v>28</v>
      </c>
      <c r="I11" s="2424" t="s">
        <v>28</v>
      </c>
      <c r="J11" s="1093" t="s">
        <v>28</v>
      </c>
      <c r="K11" s="981" t="s">
        <v>1019</v>
      </c>
      <c r="V11" s="1197">
        <v>0</v>
      </c>
    </row>
    <row s="62148" customFormat="1" customHeight="1" ht="15" hidden="1">
      <c r="C12" s="1364"/>
      <c r="U12" s="1112"/>
      <c r="V12" s="1109">
        <v>0</v>
      </c>
    </row>
    <row customHeight="1" ht="33.75" hidden="1">
      <c r="A13" s="1197"/>
      <c r="B13" s="3089"/>
      <c r="C13" s="3090" t="s">
        <v>104</v>
      </c>
      <c r="D13" s="1381" t="str">
        <f>B13&amp;".1"</f>
        <v>.1</v>
      </c>
      <c r="E13" s="1382" t="s">
        <v>1020</v>
      </c>
      <c r="F13" s="1383" t="s">
        <v>381</v>
      </c>
      <c r="G13" s="1389" t="s">
        <v>28</v>
      </c>
      <c r="H13" s="1093" t="s">
        <v>28</v>
      </c>
      <c r="I13" s="1389" t="s">
        <v>28</v>
      </c>
      <c r="J13" s="1093" t="s">
        <v>28</v>
      </c>
      <c r="K13" s="981" t="s">
        <v>1021</v>
      </c>
      <c r="V13" s="1197">
        <v>0</v>
      </c>
    </row>
    <row customHeight="1" ht="15" hidden="1">
      <c r="B14" s="3089"/>
      <c r="C14" s="3090"/>
      <c r="D14" s="1381" t="str">
        <f>B13&amp;".2"</f>
        <v>.2</v>
      </c>
      <c r="E14" s="1382" t="s">
        <v>1022</v>
      </c>
      <c r="F14" s="1383" t="s">
        <v>381</v>
      </c>
      <c r="G14" s="2424" t="s">
        <v>28</v>
      </c>
      <c r="H14" s="1093" t="s">
        <v>28</v>
      </c>
      <c r="I14" s="2424" t="s">
        <v>28</v>
      </c>
      <c r="J14" s="1093" t="s">
        <v>28</v>
      </c>
      <c r="K14" s="981" t="s">
        <v>1023</v>
      </c>
      <c r="V14" s="1197">
        <v>0</v>
      </c>
    </row>
    <row s="62148" customFormat="1" customHeight="1" ht="15" hidden="1">
      <c r="C15" s="1364"/>
      <c r="U15" s="1112"/>
      <c r="V15" s="1109">
        <v>0</v>
      </c>
    </row>
    <row s="62148" customFormat="1" customHeight="1" ht="15" hidden="1">
      <c r="C16" s="1364"/>
      <c r="U16" s="1112"/>
      <c r="V16" s="1109">
        <v>0</v>
      </c>
    </row>
    <row s="62148" customFormat="1" customHeight="1" ht="15" hidden="1">
      <c r="C17" s="1364"/>
      <c r="U17" s="1112"/>
      <c r="V17" s="1109">
        <v>0</v>
      </c>
    </row>
    <row s="62148" customFormat="1" customHeight="1" ht="15" hidden="1">
      <c r="C18" s="1364"/>
      <c r="U18" s="1112"/>
      <c r="V18" s="1109">
        <v>0</v>
      </c>
    </row>
    <row s="62148" customFormat="1" customHeight="1" ht="15" hidden="1">
      <c r="C19" s="1364"/>
      <c r="U19" s="1112"/>
      <c r="V19" s="1109">
        <v>0</v>
      </c>
    </row>
    <row s="62148" customFormat="1" customHeight="1" ht="15" hidden="1">
      <c r="C20" s="1364"/>
      <c r="U20" s="1112"/>
      <c r="V20" s="1109">
        <v>0</v>
      </c>
    </row>
    <row customHeight="1" ht="15.75">
      <c r="C21" s="868"/>
      <c r="D21" s="1201"/>
      <c r="E21" s="1201"/>
      <c r="F21" s="1201"/>
      <c r="G21" s="1201"/>
      <c r="H21" s="1201"/>
      <c r="I21" s="1201"/>
      <c r="J21" s="1201"/>
      <c r="V21" s="1197">
        <v>15</v>
      </c>
    </row>
    <row customHeight="1" ht="23.25">
      <c r="C22" s="868"/>
      <c r="D22" s="292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929"/>
      <c r="F22" s="2929"/>
      <c r="G22" s="2929"/>
      <c r="H22" s="2929"/>
      <c r="I22" s="2929"/>
      <c r="J22" s="1368"/>
      <c r="K22" s="1229"/>
      <c r="V22" s="1197">
        <v>22</v>
      </c>
    </row>
    <row customHeight="1" ht="15.75">
      <c r="C23" s="868"/>
      <c r="D23" s="2868" t="str">
        <f>IF(org=0,"Не определено",org)</f>
        <v>АО "ДГК"</v>
      </c>
      <c r="E23" s="2868"/>
      <c r="F23" s="2868"/>
      <c r="G23" s="2868"/>
      <c r="H23" s="2868"/>
      <c r="I23" s="2868"/>
      <c r="J23" s="1368"/>
      <c r="K23" s="1229"/>
      <c r="V23" s="1197">
        <v>15</v>
      </c>
    </row>
    <row customHeight="1" ht="15.75">
      <c r="C24" s="868"/>
      <c r="D24" s="1201"/>
      <c r="E24" s="1201"/>
      <c r="F24" s="1201"/>
      <c r="G24" s="1229">
        <v>22</v>
      </c>
      <c r="H24" s="1444"/>
      <c r="I24" s="1229">
        <v>22</v>
      </c>
      <c r="J24" s="1444"/>
      <c r="V24" s="1197">
        <v>15</v>
      </c>
    </row>
    <row s="62286" customFormat="1" customHeight="1" ht="1.05">
      <c r="A25" s="1451"/>
      <c r="C25" s="868"/>
      <c r="D25" s="1201"/>
      <c r="E25" s="1201"/>
      <c r="F25" s="1201"/>
      <c r="G25" s="1229"/>
      <c r="H25" s="1444"/>
      <c r="I25" s="1229" t="s">
        <v>125</v>
      </c>
      <c r="J25" s="1444"/>
      <c r="K25" s="1109"/>
      <c r="U25" s="1367"/>
      <c r="V25" s="1450">
        <v>1</v>
      </c>
    </row>
    <row customHeight="1" ht="15.75">
      <c r="C26" s="868"/>
      <c r="D26" s="1403"/>
      <c r="E26" s="3059" t="s">
        <v>114</v>
      </c>
      <c r="F26" s="3060"/>
      <c r="G26" s="3087" t="str">
        <f>IF(G25="","",INDEX(DIFFERENTIATION_UNMERGE_VD,MATCH(G25,DIFFERENTIATION_ID_DIFF,0)))</f>
        <v/>
      </c>
      <c r="H26" s="3088"/>
      <c r="I26" s="3087">
        <f>IF(I25="","",INDEX(DIFFERENTIATION_UNMERGE_VD,MATCH(I25,DIFFERENTIATION_ID_DIFF,0)))</f>
        <v>0</v>
      </c>
      <c r="J26" s="3088"/>
      <c r="K26" s="2867" t="s">
        <v>376</v>
      </c>
      <c r="V26" s="1197">
        <v>15</v>
      </c>
    </row>
    <row s="62286" customFormat="1" customHeight="1" ht="15.75">
      <c r="A27" s="1451"/>
      <c r="C27" s="868"/>
      <c r="D27" s="1403"/>
      <c r="E27" s="3059" t="s">
        <v>638</v>
      </c>
      <c r="F27" s="3060"/>
      <c r="G27" s="3087" t="str">
        <f>IF(G25="","",INDEX(DIFFERENTIATION_UNMERGE_AREA,MATCH(G25,DIFFERENTIATION_ID_DIFF,0)))</f>
        <v/>
      </c>
      <c r="H27" s="3088"/>
      <c r="I27" s="3087" t="str">
        <f>IF(I25="","",INDEX(DIFFERENTIATION_UNMERGE_AREA,MATCH(I25,DIFFERENTIATION_ID_DIFF,0)))</f>
        <v/>
      </c>
      <c r="J27" s="3088"/>
      <c r="K27" s="2887"/>
      <c r="U27" s="1367"/>
      <c r="V27" s="1450">
        <v>15</v>
      </c>
    </row>
    <row s="62286" customFormat="1" customHeight="1" ht="15.75">
      <c r="A28" s="1451"/>
      <c r="C28" s="868"/>
      <c r="D28" s="1403"/>
      <c r="E28" s="3059" t="s">
        <v>639</v>
      </c>
      <c r="F28" s="3060"/>
      <c r="G28" s="3087" t="str">
        <f>IF(G25="","",INDEX(DIFFERENTIATION_UNMERGE_SYSTEM,MATCH(G25,DIFFERENTIATION_ID_DIFF,0)))</f>
        <v/>
      </c>
      <c r="H28" s="3088"/>
      <c r="I28" s="3087" t="str">
        <f>IF(I25="","",INDEX(DIFFERENTIATION_UNMERGE_SYSTEM,MATCH(I25,DIFFERENTIATION_ID_DIFF,0)))</f>
        <v>без дифференциации</v>
      </c>
      <c r="J28" s="3088"/>
      <c r="K28" s="2887"/>
      <c r="U28" s="1367"/>
      <c r="V28" s="1450">
        <v>15</v>
      </c>
    </row>
    <row s="62286" customFormat="1" customHeight="1" ht="15.75">
      <c r="A29" s="1451"/>
      <c r="C29" s="868"/>
      <c r="D29" s="3061" t="s">
        <v>375</v>
      </c>
      <c r="E29" s="3062"/>
      <c r="F29" s="3062"/>
      <c r="G29" s="1579"/>
      <c r="H29" s="1579"/>
      <c r="I29" s="1579"/>
      <c r="J29" s="1580"/>
      <c r="K29" s="2887"/>
      <c r="U29" s="1367"/>
      <c r="V29" s="1450">
        <v>15</v>
      </c>
    </row>
    <row customHeight="1" ht="35.699999999999996">
      <c r="C30" s="868"/>
      <c r="D30" s="1453" t="s">
        <v>89</v>
      </c>
      <c r="E30" s="1452" t="s">
        <v>377</v>
      </c>
      <c r="F30" s="1452" t="s">
        <v>640</v>
      </c>
      <c r="G30" s="1500" t="s">
        <v>378</v>
      </c>
      <c r="H30" s="1499" t="s">
        <v>465</v>
      </c>
      <c r="I30" s="1376" t="s">
        <v>378</v>
      </c>
      <c r="J30" s="1157" t="s">
        <v>465</v>
      </c>
      <c r="K30" s="2893"/>
      <c r="V30" s="1197">
        <v>34</v>
      </c>
    </row>
    <row customHeight="1" ht="15" hidden="1">
      <c r="C31" s="868"/>
      <c r="D31" s="1285"/>
      <c r="E31" s="1285"/>
      <c r="F31" s="1285"/>
      <c r="G31" s="1351"/>
      <c r="H31" s="1351"/>
      <c r="I31" s="1351"/>
      <c r="J31" s="1351"/>
      <c r="K31" s="981"/>
      <c r="V31" s="1197">
        <v>0</v>
      </c>
    </row>
    <row customHeight="1" ht="24">
      <c r="A32" s="1197"/>
      <c r="B32" s="1197" t="s">
        <v>1024</v>
      </c>
      <c r="C32" s="1218"/>
      <c r="D32" s="1384">
        <v>1</v>
      </c>
      <c r="E32" s="1385" t="s">
        <v>1025</v>
      </c>
      <c r="F32" s="1383" t="s">
        <v>381</v>
      </c>
      <c r="G32" s="1505" t="s">
        <v>381</v>
      </c>
      <c r="H32" s="1505" t="s">
        <v>381</v>
      </c>
      <c r="I32" s="1383" t="s">
        <v>381</v>
      </c>
      <c r="J32" s="1383" t="s">
        <v>381</v>
      </c>
      <c r="K32" s="981"/>
      <c r="V32" s="1197">
        <v>23</v>
      </c>
    </row>
    <row customHeight="1" ht="11.549999999999999">
      <c r="A33" s="1197"/>
      <c r="C33" s="1197"/>
      <c r="D33" s="1039"/>
      <c r="E33" s="1272" t="s">
        <v>660</v>
      </c>
      <c r="F33" s="1264"/>
      <c r="G33" s="1264"/>
      <c r="H33" s="1264"/>
      <c r="I33" s="1264"/>
      <c r="J33" s="1264"/>
      <c r="K33" s="1265"/>
      <c r="U33" s="1197"/>
      <c r="V33" s="1197">
        <v>11</v>
      </c>
    </row>
    <row customHeight="1" ht="24">
      <c r="A34" s="1197"/>
      <c r="B34" s="1273" t="s">
        <v>710</v>
      </c>
      <c r="C34" s="1218"/>
      <c r="D34" s="1384">
        <v>2</v>
      </c>
      <c r="E34" s="1385" t="s">
        <v>1026</v>
      </c>
      <c r="F34" s="1512" t="s">
        <v>381</v>
      </c>
      <c r="G34" s="1512" t="s">
        <v>381</v>
      </c>
      <c r="H34" s="1512" t="s">
        <v>381</v>
      </c>
      <c r="I34" s="1383"/>
      <c r="J34" s="1383"/>
      <c r="K34" s="981"/>
      <c r="V34" s="1197">
        <v>23</v>
      </c>
    </row>
    <row customHeight="1" ht="11.549999999999999">
      <c r="A35" s="1197"/>
      <c r="C35" s="1197"/>
      <c r="D35" s="1039"/>
      <c r="E35" s="1272" t="s">
        <v>1027</v>
      </c>
      <c r="F35" s="1264"/>
      <c r="G35" s="1386"/>
      <c r="H35" s="1264"/>
      <c r="I35" s="1386"/>
      <c r="J35" s="1264"/>
      <c r="K35" s="1265"/>
      <c r="U35" s="1197"/>
      <c r="V35" s="1197">
        <v>11</v>
      </c>
    </row>
    <row customHeight="1" ht="71.25">
      <c r="A36" s="1197"/>
      <c r="B36" s="1197" t="s">
        <v>1028</v>
      </c>
      <c r="C36" s="1218"/>
      <c r="D36" s="1384">
        <v>3</v>
      </c>
      <c r="E36" s="1385" t="s">
        <v>1029</v>
      </c>
      <c r="F36" s="1387" t="s">
        <v>381</v>
      </c>
      <c r="G36" s="1506" t="s">
        <v>1030</v>
      </c>
      <c r="H36" s="1505" t="s">
        <v>381</v>
      </c>
      <c r="I36" s="1216" t="s">
        <v>1030</v>
      </c>
      <c r="J36" s="1383" t="s">
        <v>381</v>
      </c>
      <c r="K36" s="981" t="s">
        <v>1031</v>
      </c>
      <c r="V36" s="1197">
        <v>68</v>
      </c>
    </row>
    <row customHeight="1" ht="11.549999999999999">
      <c r="A37" s="1197"/>
      <c r="C37" s="1197"/>
      <c r="D37" s="1039"/>
      <c r="E37" s="1272" t="s">
        <v>1032</v>
      </c>
      <c r="F37" s="1264"/>
      <c r="G37" s="1386"/>
      <c r="H37" s="1386"/>
      <c r="I37" s="1386"/>
      <c r="J37" s="1386"/>
      <c r="K37" s="1265"/>
      <c r="U37" s="1197"/>
      <c r="V37" s="1197">
        <v>11</v>
      </c>
    </row>
    <row customHeight="1" ht="71.25">
      <c r="A38" s="1197"/>
      <c r="B38" s="1197" t="s">
        <v>1033</v>
      </c>
      <c r="C38" s="1218"/>
      <c r="D38" s="1384">
        <v>4</v>
      </c>
      <c r="E38" s="1385" t="s">
        <v>1034</v>
      </c>
      <c r="F38" s="1387" t="s">
        <v>381</v>
      </c>
      <c r="G38" s="1506" t="s">
        <v>1030</v>
      </c>
      <c r="H38" s="1507" t="s">
        <v>381</v>
      </c>
      <c r="I38" s="1216" t="s">
        <v>1030</v>
      </c>
      <c r="J38" s="1213" t="s">
        <v>381</v>
      </c>
      <c r="K38" s="1371" t="s">
        <v>1035</v>
      </c>
      <c r="V38" s="1197">
        <v>68</v>
      </c>
    </row>
    <row customHeight="1" ht="11.549999999999999">
      <c r="A39" s="1197"/>
      <c r="C39" s="1197"/>
      <c r="D39" s="1039"/>
      <c r="E39" s="1272" t="s">
        <v>1036</v>
      </c>
      <c r="F39" s="1264"/>
      <c r="G39" s="1264"/>
      <c r="H39" s="1388"/>
      <c r="I39" s="1264"/>
      <c r="J39" s="1388"/>
      <c r="K39" s="1265"/>
      <c r="U39" s="1197"/>
      <c r="V39" s="1197">
        <v>11</v>
      </c>
    </row>
    <row customHeight="1" ht="22.5" hidden="1">
      <c r="A40" s="1141" t="s">
        <v>83</v>
      </c>
      <c r="B40" s="1197">
        <v>0</v>
      </c>
      <c r="C40" s="1375">
        <v>4</v>
      </c>
      <c r="D40" s="1197">
        <v>6</v>
      </c>
      <c r="E40" s="1197">
        <v>36</v>
      </c>
      <c r="F40" s="1197">
        <v>9</v>
      </c>
      <c r="G40" s="1450">
        <v>0</v>
      </c>
      <c r="H40" s="1450">
        <v>0</v>
      </c>
      <c r="I40" s="1197">
        <v>25</v>
      </c>
      <c r="J40" s="1197">
        <v>33</v>
      </c>
      <c r="K40" s="1109">
        <v>93</v>
      </c>
      <c r="L40" s="1197">
        <v>10</v>
      </c>
      <c r="M40" s="1197">
        <v>10</v>
      </c>
      <c r="N40" s="1197">
        <v>10</v>
      </c>
      <c r="O40" s="1197">
        <v>10</v>
      </c>
      <c r="P40" s="1197">
        <v>10</v>
      </c>
      <c r="Q40" s="1197">
        <v>10</v>
      </c>
      <c r="R40" s="1197">
        <v>10</v>
      </c>
      <c r="S40" s="1197">
        <v>10</v>
      </c>
      <c r="T40" s="1197">
        <v>10</v>
      </c>
      <c r="U40" s="1367">
        <v>10</v>
      </c>
      <c r="V40" s="1197">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B87449-FBC9-493E-EC18-28938ED7387D}"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61934" width="6.7109375" hidden="1" customWidth="1"/>
    <col min="4" max="4" style="62148" width="6.7109375" hidden="1" customWidth="1"/>
    <col min="5" max="5" style="62286" width="3.00390625" customWidth="1"/>
    <col min="6" max="6" style="62286" width="6.00390625" customWidth="1"/>
    <col min="7" max="7" style="62286" width="37.00390625" customWidth="1"/>
    <col min="8" max="8" style="62286" width="16.00390625" customWidth="1"/>
    <col min="9" max="10" style="62286" width="19.00390625" customWidth="1"/>
    <col min="11" max="11" style="62286" width="24.00390625" customWidth="1"/>
    <col min="12" max="13" style="62286" width="25.00390625" customWidth="1"/>
    <col min="14" max="16" style="62286" width="17.00390625" customWidth="1"/>
    <col min="17" max="24" style="62286" width="19.00390625" customWidth="1"/>
    <col min="25" max="25" style="62286" width="7.00390625" customWidth="1"/>
    <col min="26" max="26" style="62286" width="3.00390625" customWidth="1"/>
    <col min="27" max="27" style="62286" width="6.00390625" customWidth="1"/>
    <col min="28" max="28" style="62286" width="34.00390625" customWidth="1"/>
    <col min="29" max="30" style="62286" width="8.00390625" customWidth="1"/>
    <col min="31" max="31" style="62286" width="9.140625" hidden="1"/>
  </cols>
  <sheetData>
    <row s="62148" customFormat="1" customHeight="1" ht="10.5" hidden="1">
      <c r="A1" s="1587"/>
      <c r="B1" s="1587"/>
      <c r="C1" s="1587"/>
      <c r="E1" s="1229"/>
      <c r="H1" s="1852"/>
      <c r="AE1" s="1109" t="s">
        <v>14</v>
      </c>
    </row>
    <row customHeight="1" ht="10.5" hidden="1">
      <c r="AE2" s="1450">
        <v>0</v>
      </c>
    </row>
    <row s="62759" customFormat="1" customHeight="1" ht="10.5" hidden="1">
      <c r="A3" s="1587"/>
      <c r="B3" s="1587"/>
      <c r="C3" s="1587"/>
      <c r="D3" s="1109"/>
      <c r="E3" s="1054"/>
      <c r="G3" s="2324" t="s">
        <v>1037</v>
      </c>
      <c r="H3" s="1848"/>
      <c r="AE3" s="1451">
        <v>0</v>
      </c>
    </row>
    <row customHeight="1" ht="3">
      <c r="AE4" s="1450">
        <v>3</v>
      </c>
    </row>
    <row customHeight="1" ht="27.299999999999997">
      <c r="F5" s="294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40"/>
      <c r="H5" s="2940"/>
      <c r="I5" s="2940"/>
      <c r="J5" s="2940"/>
      <c r="K5" s="2940"/>
      <c r="M5" s="1274"/>
      <c r="AB5" s="1598"/>
      <c r="AE5" s="1450">
        <v>26</v>
      </c>
    </row>
    <row s="62286" customFormat="1" customHeight="1" ht="16.8">
      <c r="A6" s="1858"/>
      <c r="B6" s="1858"/>
      <c r="C6" s="1858"/>
      <c r="D6" s="1852"/>
      <c r="E6" s="2327"/>
      <c r="F6" s="2941" t="str">
        <f>IF(org=0,"Не определено",org)</f>
        <v>АО "ДГК"</v>
      </c>
      <c r="G6" s="2941"/>
      <c r="H6" s="2941"/>
      <c r="I6" s="2941"/>
      <c r="J6" s="2941"/>
      <c r="K6" s="2941"/>
      <c r="M6" s="1274"/>
      <c r="AB6" s="1840"/>
      <c r="AE6" s="2323">
        <v>16</v>
      </c>
    </row>
    <row customHeight="1" ht="10.5">
      <c r="AE7" s="1450">
        <v>10</v>
      </c>
    </row>
    <row customHeight="1" ht="10.5">
      <c r="A8" s="1743"/>
      <c r="B8" s="1743"/>
      <c r="C8" s="1743"/>
      <c r="F8" s="2793" t="s">
        <v>375</v>
      </c>
      <c r="G8" s="2794"/>
      <c r="H8" s="2794"/>
      <c r="I8" s="2794"/>
      <c r="J8" s="2794"/>
      <c r="K8" s="2794"/>
      <c r="L8" s="2794"/>
      <c r="M8" s="2794"/>
      <c r="N8" s="2794"/>
      <c r="O8" s="2794"/>
      <c r="P8" s="2794"/>
      <c r="Q8" s="2794"/>
      <c r="R8" s="2794"/>
      <c r="S8" s="2794"/>
      <c r="T8" s="2794"/>
      <c r="U8" s="2794"/>
      <c r="V8" s="2794"/>
      <c r="W8" s="2794"/>
      <c r="X8" s="2794"/>
      <c r="Y8" s="2794"/>
      <c r="Z8" s="2794"/>
      <c r="AA8" s="2794"/>
      <c r="AB8" s="2795"/>
      <c r="AE8" s="1450">
        <v>10</v>
      </c>
    </row>
    <row customHeight="1" ht="43.050000000000004">
      <c r="A9" s="1597"/>
      <c r="B9" s="1597"/>
      <c r="C9" s="1597"/>
      <c r="F9" s="2819" t="s">
        <v>89</v>
      </c>
      <c r="G9" s="2819" t="s">
        <v>1037</v>
      </c>
      <c r="H9" s="2867" t="s">
        <v>1038</v>
      </c>
      <c r="I9" s="2819" t="s">
        <v>1039</v>
      </c>
      <c r="J9" s="2819" t="s">
        <v>1040</v>
      </c>
      <c r="K9" s="2819" t="s">
        <v>1041</v>
      </c>
      <c r="L9" s="2819" t="s">
        <v>1042</v>
      </c>
      <c r="M9" s="2819" t="s">
        <v>1043</v>
      </c>
      <c r="N9" s="2901" t="s">
        <v>1044</v>
      </c>
      <c r="O9" s="2901"/>
      <c r="P9" s="2901"/>
      <c r="Q9" s="3091" t="s">
        <v>1045</v>
      </c>
      <c r="R9" s="3092"/>
      <c r="S9" s="3092"/>
      <c r="T9" s="3093"/>
      <c r="U9" s="3091" t="s">
        <v>1046</v>
      </c>
      <c r="V9" s="3092"/>
      <c r="W9" s="3092"/>
      <c r="X9" s="3093"/>
      <c r="Y9" s="2793" t="s">
        <v>1047</v>
      </c>
      <c r="Z9" s="2794"/>
      <c r="AA9" s="2794"/>
      <c r="AB9" s="2795"/>
      <c r="AE9" s="1450">
        <v>41</v>
      </c>
    </row>
    <row customHeight="1" ht="43.050000000000004">
      <c r="A10" s="1597"/>
      <c r="B10" s="1597"/>
      <c r="C10" s="1597"/>
      <c r="F10" s="2867"/>
      <c r="G10" s="2867"/>
      <c r="H10" s="2924"/>
      <c r="I10" s="2867"/>
      <c r="J10" s="2867"/>
      <c r="K10" s="2867"/>
      <c r="L10" s="2867"/>
      <c r="M10" s="2867"/>
      <c r="N10" s="1595" t="s">
        <v>1048</v>
      </c>
      <c r="O10" s="1595" t="s">
        <v>1049</v>
      </c>
      <c r="P10" s="1596" t="s">
        <v>1050</v>
      </c>
      <c r="Q10" s="1607" t="s">
        <v>90</v>
      </c>
      <c r="R10" s="1607" t="s">
        <v>1051</v>
      </c>
      <c r="S10" s="1607" t="s">
        <v>1052</v>
      </c>
      <c r="T10" s="1608" t="s">
        <v>1053</v>
      </c>
      <c r="U10" s="1607" t="s">
        <v>90</v>
      </c>
      <c r="V10" s="1607" t="s">
        <v>1054</v>
      </c>
      <c r="W10" s="1607" t="s">
        <v>1052</v>
      </c>
      <c r="X10" s="1608" t="s">
        <v>1053</v>
      </c>
      <c r="Y10" s="993" t="s">
        <v>1055</v>
      </c>
      <c r="Z10" s="2793" t="s">
        <v>89</v>
      </c>
      <c r="AA10" s="2795"/>
      <c r="AB10" s="1741" t="s">
        <v>1056</v>
      </c>
      <c r="AE10" s="1450">
        <v>41</v>
      </c>
    </row>
    <row s="61695" customFormat="1" customHeight="1" ht="5.25" hidden="1">
      <c r="A11" s="1744"/>
      <c r="B11" s="1744"/>
      <c r="C11" s="1744"/>
      <c r="E11" s="1742"/>
      <c r="F11" s="3098" t="s">
        <v>451</v>
      </c>
      <c r="G11" s="3095"/>
      <c r="H11" s="3094"/>
      <c r="I11" s="3094"/>
      <c r="J11" s="3094"/>
      <c r="K11" s="3096"/>
      <c r="L11" s="3096"/>
      <c r="M11" s="3096"/>
      <c r="N11" s="3094"/>
      <c r="O11" s="3094"/>
      <c r="P11" s="2819"/>
      <c r="Q11" s="2871"/>
      <c r="R11" s="2871"/>
      <c r="S11" s="2871"/>
      <c r="T11" s="3094"/>
      <c r="U11" s="2871"/>
      <c r="V11" s="2871"/>
      <c r="W11" s="2871"/>
      <c r="X11" s="3094"/>
      <c r="Y11" s="2800"/>
      <c r="Z11" s="2800"/>
      <c r="AA11" s="2800"/>
      <c r="AB11" s="2800"/>
      <c r="AD11" s="1203" t="s">
        <v>1057</v>
      </c>
      <c r="AE11" s="1203">
        <v>0</v>
      </c>
    </row>
    <row s="61695" customFormat="1" customHeight="1" ht="5.25" hidden="1">
      <c r="A12" s="1588"/>
      <c r="B12" s="1588"/>
      <c r="C12" s="1588"/>
      <c r="E12" s="1210"/>
      <c r="F12" s="3098"/>
      <c r="G12" s="3095"/>
      <c r="H12" s="3094"/>
      <c r="I12" s="3094"/>
      <c r="J12" s="3094"/>
      <c r="K12" s="3096"/>
      <c r="L12" s="3096"/>
      <c r="M12" s="3096"/>
      <c r="N12" s="3094"/>
      <c r="O12" s="3094"/>
      <c r="P12" s="2819"/>
      <c r="Q12" s="2871"/>
      <c r="R12" s="2871"/>
      <c r="S12" s="2871"/>
      <c r="T12" s="3094"/>
      <c r="U12" s="2871"/>
      <c r="V12" s="2871"/>
      <c r="W12" s="2871"/>
      <c r="X12" s="3094"/>
      <c r="Y12" s="3097"/>
      <c r="Z12" s="3097"/>
      <c r="AA12" s="3097"/>
      <c r="AB12" s="3097"/>
      <c r="AE12" s="1203">
        <v>0</v>
      </c>
    </row>
    <row customHeight="1" ht="10.5">
      <c r="F13" s="1594"/>
      <c r="G13" s="1342" t="s">
        <v>1058</v>
      </c>
      <c r="H13" s="1860"/>
      <c r="I13" s="1264"/>
      <c r="J13" s="1264"/>
      <c r="K13" s="1264"/>
      <c r="L13" s="1264"/>
      <c r="M13" s="1264"/>
      <c r="N13" s="1264"/>
      <c r="O13" s="1264"/>
      <c r="P13" s="1264"/>
      <c r="Q13" s="1264"/>
      <c r="R13" s="1264"/>
      <c r="S13" s="1264"/>
      <c r="T13" s="1264"/>
      <c r="U13" s="1264"/>
      <c r="V13" s="1264"/>
      <c r="W13" s="1264"/>
      <c r="X13" s="1264"/>
      <c r="Y13" s="1264"/>
      <c r="Z13" s="1388"/>
      <c r="AA13" s="1388"/>
      <c r="AB13" s="1609"/>
      <c r="AE13" s="1450">
        <v>10</v>
      </c>
    </row>
    <row customHeight="1" ht="10.5">
      <c r="AE14" s="1450">
        <v>10</v>
      </c>
    </row>
    <row s="61695" customFormat="1" customHeight="1" ht="10.5">
      <c r="A15" s="1859"/>
      <c r="B15" s="1859"/>
      <c r="C15" s="1859"/>
      <c r="E15" s="1210"/>
      <c r="H15" s="1203">
        <f>_xlfn.IFERROR(MATCH("нет",IP_MAIN_DIFFERENTIATION_EVENTS_FLAG,0),0)</f>
        <v>0</v>
      </c>
      <c r="AE15" s="1203">
        <v>10</v>
      </c>
    </row>
    <row customHeight="1" ht="10.5" hidden="1">
      <c r="A16" s="1587" t="s">
        <v>83</v>
      </c>
      <c r="B16" s="1587">
        <v>0</v>
      </c>
      <c r="C16" s="1587">
        <v>0</v>
      </c>
      <c r="D16" s="1109">
        <v>0</v>
      </c>
      <c r="E16" s="1201">
        <v>3</v>
      </c>
      <c r="F16" s="1450">
        <v>6</v>
      </c>
      <c r="G16" s="1450">
        <v>37</v>
      </c>
      <c r="H16" s="1847">
        <v>16</v>
      </c>
      <c r="I16" s="1450">
        <v>19</v>
      </c>
      <c r="J16" s="1450">
        <v>19</v>
      </c>
      <c r="K16" s="1450">
        <v>24</v>
      </c>
      <c r="L16" s="1450">
        <v>25</v>
      </c>
      <c r="M16" s="1450">
        <v>25</v>
      </c>
      <c r="N16" s="1450">
        <v>17</v>
      </c>
      <c r="O16" s="1450">
        <v>17</v>
      </c>
      <c r="P16" s="1450">
        <v>17</v>
      </c>
      <c r="Q16" s="1450">
        <v>19</v>
      </c>
      <c r="R16" s="1450">
        <v>19</v>
      </c>
      <c r="S16" s="1450">
        <v>19</v>
      </c>
      <c r="T16" s="1450">
        <v>19</v>
      </c>
      <c r="U16" s="1450">
        <v>19</v>
      </c>
      <c r="V16" s="1450">
        <v>19</v>
      </c>
      <c r="W16" s="1450">
        <v>19</v>
      </c>
      <c r="X16" s="1450">
        <v>19</v>
      </c>
      <c r="Y16" s="1450">
        <v>7</v>
      </c>
      <c r="Z16" s="1450">
        <v>3</v>
      </c>
      <c r="AA16" s="1450">
        <v>6</v>
      </c>
      <c r="AB16" s="1450">
        <v>34</v>
      </c>
      <c r="AC16" s="1450">
        <v>8</v>
      </c>
      <c r="AD16" s="1450">
        <v>8</v>
      </c>
      <c r="AE16" s="1450">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F69A31-177F-1A67-B3C5-C2A66289DE44}"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61934" width="4.140625" hidden="1" customWidth="1"/>
    <col min="4" max="4" style="62148" width="4.140625" hidden="1" customWidth="1"/>
    <col min="5" max="5" style="62286" width="3.00390625" customWidth="1"/>
    <col min="6" max="6" style="62286" width="14.00390625" customWidth="1"/>
    <col min="7" max="7" style="62286" width="3.00390625" customWidth="1"/>
    <col min="8" max="8" style="62286" width="7.00390625" customWidth="1"/>
    <col min="9" max="10" style="62286" width="16.00390625" customWidth="1"/>
    <col min="11" max="11" style="62286" width="25.00390625" customWidth="1"/>
    <col min="12" max="12" style="62286" width="7.00390625" customWidth="1"/>
    <col min="13" max="13" style="62286" width="15.00390625" customWidth="1"/>
    <col min="14" max="14" style="62286" width="3.00390625" customWidth="1"/>
    <col min="15" max="15" style="62286" width="4.00390625" customWidth="1"/>
    <col min="16" max="16" style="62286" width="8.00390625" customWidth="1"/>
    <col min="17" max="17" style="62286" width="21.00390625" customWidth="1"/>
    <col min="18" max="18" style="62286" width="14.00390625" customWidth="1"/>
    <col min="19" max="20" style="62286" width="17.00390625" customWidth="1"/>
    <col min="21" max="21" style="62286" width="9.00390625" customWidth="1"/>
    <col min="22" max="22" style="62286" width="12.00390625" customWidth="1"/>
    <col min="23" max="23" style="62286" width="9.00390625" customWidth="1"/>
    <col min="24" max="24" style="62286" width="21.00390625" customWidth="1"/>
    <col min="25" max="25" style="62286" width="12.00390625" customWidth="1"/>
    <col min="26" max="26" style="62286" width="3.00390625" customWidth="1"/>
    <col min="27" max="27" style="62286" width="6.00390625" customWidth="1"/>
    <col min="28" max="28" style="62286" width="38.00390625" customWidth="1"/>
    <col min="29" max="29" style="62286" width="15.00390625" customWidth="1"/>
    <col min="30" max="30" style="62286" width="37.57421875" hidden="1" customWidth="1"/>
    <col min="31" max="31" style="62286" width="15.7109375" hidden="1" customWidth="1"/>
    <col min="32" max="34" style="62286" width="16.00390625" customWidth="1"/>
    <col min="35" max="37" style="62286" width="16.7109375" hidden="1" customWidth="1"/>
    <col min="38" max="58" style="62286" width="8.00390625" customWidth="1"/>
    <col min="59" max="59" style="62286" width="9.140625" hidden="1"/>
  </cols>
  <sheetData>
    <row s="62148" customFormat="1" customHeight="1" ht="10.5" hidden="1">
      <c r="A1" s="1587"/>
      <c r="B1" s="1587"/>
      <c r="C1" s="1587"/>
      <c r="E1" s="1229"/>
      <c r="H1" s="1852"/>
      <c r="L1" s="1820"/>
      <c r="M1" s="1820"/>
      <c r="AD1" s="1820"/>
      <c r="AH1" s="1839"/>
      <c r="AI1" s="1832"/>
      <c r="BG1" s="1109" t="s">
        <v>14</v>
      </c>
    </row>
    <row customHeight="1" ht="10.5" hidden="1">
      <c r="BG2" s="1450">
        <v>0</v>
      </c>
    </row>
    <row s="62759" customFormat="1" customHeight="1" ht="10.5" hidden="1">
      <c r="A3" s="1587"/>
      <c r="B3" s="1587"/>
      <c r="C3" s="1587"/>
      <c r="D3" s="1109"/>
      <c r="E3" s="1054"/>
      <c r="H3" s="1848"/>
      <c r="L3" s="1818"/>
      <c r="M3" s="1818"/>
      <c r="AD3" s="1818"/>
      <c r="AH3" s="1837"/>
      <c r="AI3" s="1830"/>
      <c r="BG3" s="1451">
        <v>0</v>
      </c>
    </row>
    <row customHeight="1" ht="3">
      <c r="BG4" s="1450">
        <v>3</v>
      </c>
    </row>
    <row customHeight="1" ht="27.299999999999997">
      <c r="F5" s="294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40"/>
      <c r="H5" s="2940"/>
      <c r="I5" s="2940"/>
      <c r="J5" s="2940"/>
      <c r="K5" s="2940"/>
      <c r="L5" s="1827"/>
      <c r="M5" s="1827"/>
      <c r="AG5" s="1598"/>
      <c r="AH5" s="1840"/>
      <c r="BG5" s="1450">
        <v>26</v>
      </c>
    </row>
    <row customHeight="1" ht="10.5">
      <c r="F6" s="2868" t="str">
        <f>IF(org=0,"Не определено",org)</f>
        <v>АО "ДГК"</v>
      </c>
      <c r="G6" s="2868"/>
      <c r="H6" s="2868"/>
      <c r="I6" s="2868"/>
      <c r="J6" s="2868"/>
      <c r="K6" s="2868"/>
      <c r="L6" s="1828"/>
      <c r="M6" s="1828"/>
      <c r="BG6" s="1450">
        <v>10</v>
      </c>
    </row>
    <row customHeight="1" ht="11.549999999999999">
      <c r="E7" s="1600"/>
      <c r="F7" s="1611"/>
      <c r="G7" s="1611"/>
      <c r="H7" s="1876"/>
      <c r="I7" s="1611"/>
      <c r="J7" s="1611"/>
      <c r="K7" s="1613"/>
      <c r="L7" s="1825"/>
      <c r="M7" s="1825"/>
      <c r="N7" s="1611"/>
      <c r="O7" s="1611"/>
      <c r="P7" s="1611"/>
      <c r="Q7" s="1613"/>
      <c r="R7" s="1611"/>
      <c r="S7" s="1611"/>
      <c r="T7" s="1611"/>
      <c r="U7" s="1611"/>
      <c r="V7" s="1611"/>
      <c r="W7" s="1611"/>
      <c r="X7" s="1611"/>
      <c r="Y7" s="1611"/>
      <c r="Z7" s="1611"/>
      <c r="AA7" s="1611"/>
      <c r="AB7" s="1611"/>
      <c r="AC7" s="1612"/>
      <c r="AD7" s="1824"/>
      <c r="AE7" s="1612"/>
      <c r="AF7" s="1611"/>
      <c r="AG7" s="1611"/>
      <c r="AH7" s="1842"/>
      <c r="AI7" s="1835"/>
      <c r="AJ7" s="1611"/>
      <c r="AK7" s="1611"/>
      <c r="AL7" s="1602"/>
      <c r="AM7" s="1602"/>
      <c r="AN7" s="1602"/>
      <c r="AO7" s="1599"/>
      <c r="AP7" s="1599"/>
      <c r="AQ7" s="1599"/>
      <c r="AR7" s="1599"/>
      <c r="AS7" s="1599"/>
      <c r="AT7" s="1599"/>
      <c r="AU7" s="1599"/>
      <c r="AV7" s="1599"/>
      <c r="AW7" s="1599"/>
      <c r="AX7" s="1599"/>
      <c r="AY7" s="1599"/>
      <c r="AZ7" s="1599"/>
      <c r="BA7" s="1599"/>
      <c r="BB7" s="1599"/>
      <c r="BC7" s="1599"/>
      <c r="BD7" s="1599"/>
      <c r="BE7" s="1599"/>
      <c r="BF7" s="1599"/>
      <c r="BG7" s="1450">
        <v>11</v>
      </c>
    </row>
    <row customHeight="1" ht="10.5">
      <c r="E8" s="1600"/>
      <c r="F8" s="3107" t="s">
        <v>375</v>
      </c>
      <c r="G8" s="3108"/>
      <c r="H8" s="3108"/>
      <c r="I8" s="3108"/>
      <c r="J8" s="3108"/>
      <c r="K8" s="3108"/>
      <c r="L8" s="3108"/>
      <c r="M8" s="3108"/>
      <c r="N8" s="3108"/>
      <c r="O8" s="3108"/>
      <c r="P8" s="3108"/>
      <c r="Q8" s="3108"/>
      <c r="R8" s="3108"/>
      <c r="S8" s="3108"/>
      <c r="T8" s="3108"/>
      <c r="U8" s="3108"/>
      <c r="V8" s="3108"/>
      <c r="W8" s="3108"/>
      <c r="X8" s="3108"/>
      <c r="Y8" s="3108"/>
      <c r="Z8" s="3108"/>
      <c r="AA8" s="3108"/>
      <c r="AB8" s="3108"/>
      <c r="AC8" s="3108"/>
      <c r="AD8" s="3108"/>
      <c r="AE8" s="3108"/>
      <c r="AF8" s="3108"/>
      <c r="AG8" s="3108"/>
      <c r="AH8" s="3108"/>
      <c r="AI8" s="3108"/>
      <c r="AJ8" s="3108"/>
      <c r="AK8" s="3109"/>
      <c r="AL8" s="1601"/>
      <c r="AM8" s="1599"/>
      <c r="AN8" s="1599"/>
      <c r="AO8" s="1599"/>
      <c r="AP8" s="1599"/>
      <c r="AQ8" s="1599"/>
      <c r="AR8" s="1599"/>
      <c r="AS8" s="1599"/>
      <c r="AT8" s="1599"/>
      <c r="AU8" s="1599"/>
      <c r="AV8" s="1599"/>
      <c r="AW8" s="1599"/>
      <c r="AX8" s="1599"/>
      <c r="AY8" s="1599"/>
      <c r="AZ8" s="1599"/>
      <c r="BA8" s="1599"/>
      <c r="BB8" s="1599"/>
      <c r="BC8" s="1599"/>
      <c r="BD8" s="1599"/>
      <c r="BE8" s="1599"/>
      <c r="BF8" s="1599"/>
      <c r="BG8" s="1450">
        <v>10</v>
      </c>
    </row>
    <row customHeight="1" ht="24">
      <c r="A9" s="1597"/>
      <c r="B9" s="1597"/>
      <c r="C9" s="1597"/>
      <c r="E9" s="1600"/>
      <c r="F9" s="3100" t="s">
        <v>1059</v>
      </c>
      <c r="G9" s="3101" t="s">
        <v>1060</v>
      </c>
      <c r="H9" s="3102"/>
      <c r="I9" s="2819" t="s">
        <v>1061</v>
      </c>
      <c r="J9" s="2819"/>
      <c r="K9" s="2819" t="s">
        <v>1062</v>
      </c>
      <c r="L9" s="2819"/>
      <c r="M9" s="2819"/>
      <c r="N9" s="2819"/>
      <c r="O9" s="2819"/>
      <c r="P9" s="2819"/>
      <c r="Q9" s="2819"/>
      <c r="R9" s="2819"/>
      <c r="S9" s="2819"/>
      <c r="T9" s="2819"/>
      <c r="U9" s="2819"/>
      <c r="V9" s="2819"/>
      <c r="W9" s="2819"/>
      <c r="X9" s="2819"/>
      <c r="Y9" s="2819"/>
      <c r="Z9" s="2884" t="s">
        <v>1063</v>
      </c>
      <c r="AA9" s="2885"/>
      <c r="AB9" s="2819" t="s">
        <v>1064</v>
      </c>
      <c r="AC9" s="2819"/>
      <c r="AD9" s="2819"/>
      <c r="AE9" s="2819"/>
      <c r="AF9" s="2867" t="s">
        <v>1065</v>
      </c>
      <c r="AG9" s="2819" t="s">
        <v>1066</v>
      </c>
      <c r="AH9" s="2819"/>
      <c r="AI9" s="2867" t="s">
        <v>1067</v>
      </c>
      <c r="AJ9" s="2819" t="s">
        <v>1068</v>
      </c>
      <c r="AK9" s="2819"/>
      <c r="AL9" s="1834"/>
      <c r="AM9" s="1599"/>
      <c r="AN9" s="1599"/>
      <c r="AO9" s="1599"/>
      <c r="AP9" s="1599"/>
      <c r="AQ9" s="1599"/>
      <c r="AR9" s="1599"/>
      <c r="AS9" s="1599"/>
      <c r="AT9" s="1599"/>
      <c r="AU9" s="1599"/>
      <c r="AV9" s="1599"/>
      <c r="AW9" s="1599"/>
      <c r="AX9" s="1599"/>
      <c r="AY9" s="1599"/>
      <c r="AZ9" s="1599"/>
      <c r="BA9" s="1599"/>
      <c r="BB9" s="1599"/>
      <c r="BC9" s="1599"/>
      <c r="BD9" s="1599"/>
      <c r="BE9" s="1599"/>
      <c r="BF9" s="1599"/>
      <c r="BG9" s="1450">
        <v>23</v>
      </c>
    </row>
    <row customHeight="1" ht="25.2">
      <c r="A10" s="1597"/>
      <c r="B10" s="1597"/>
      <c r="C10" s="1597"/>
      <c r="E10" s="1604"/>
      <c r="F10" s="3100"/>
      <c r="G10" s="3103"/>
      <c r="H10" s="3104"/>
      <c r="I10" s="2819"/>
      <c r="J10" s="2819"/>
      <c r="K10" s="2819" t="s">
        <v>1069</v>
      </c>
      <c r="L10" s="2793" t="s">
        <v>1070</v>
      </c>
      <c r="M10" s="2795"/>
      <c r="N10" s="2819" t="s">
        <v>1071</v>
      </c>
      <c r="O10" s="2819"/>
      <c r="P10" s="2819"/>
      <c r="Q10" s="2819"/>
      <c r="R10" s="2819"/>
      <c r="S10" s="2819"/>
      <c r="T10" s="2819"/>
      <c r="U10" s="2819"/>
      <c r="V10" s="2819"/>
      <c r="W10" s="2819"/>
      <c r="X10" s="2819"/>
      <c r="Y10" s="2819"/>
      <c r="Z10" s="2886"/>
      <c r="AA10" s="2887"/>
      <c r="AB10" s="2819"/>
      <c r="AC10" s="2819"/>
      <c r="AD10" s="2819"/>
      <c r="AE10" s="2819"/>
      <c r="AF10" s="2891"/>
      <c r="AG10" s="2819"/>
      <c r="AH10" s="2819"/>
      <c r="AI10" s="2891"/>
      <c r="AJ10" s="2819"/>
      <c r="AK10" s="2819"/>
      <c r="AL10" s="1834"/>
      <c r="AM10" s="1605"/>
      <c r="AN10" s="1605"/>
      <c r="AO10" s="1605"/>
      <c r="AP10" s="1605"/>
      <c r="AQ10" s="1605"/>
      <c r="AR10" s="1605"/>
      <c r="AS10" s="1605"/>
      <c r="AT10" s="1605"/>
      <c r="AU10" s="1605"/>
      <c r="AV10" s="1605"/>
      <c r="AW10" s="1605"/>
      <c r="AX10" s="1605"/>
      <c r="AY10" s="1605"/>
      <c r="AZ10" s="1605"/>
      <c r="BA10" s="1605"/>
      <c r="BB10" s="1605"/>
      <c r="BC10" s="1605"/>
      <c r="BD10" s="1605"/>
      <c r="BE10" s="1605"/>
      <c r="BF10" s="1605"/>
      <c r="BG10" s="1450">
        <v>24</v>
      </c>
    </row>
    <row s="62286" customFormat="1" customHeight="1" ht="25.2">
      <c r="A11" s="1821"/>
      <c r="B11" s="1821"/>
      <c r="C11" s="1821"/>
      <c r="D11" s="1820"/>
      <c r="E11" s="1822"/>
      <c r="F11" s="3100"/>
      <c r="G11" s="3103"/>
      <c r="H11" s="3104"/>
      <c r="I11" s="2819"/>
      <c r="J11" s="2819"/>
      <c r="K11" s="2819"/>
      <c r="L11" s="2867" t="s">
        <v>1072</v>
      </c>
      <c r="M11" s="2867" t="s">
        <v>1073</v>
      </c>
      <c r="N11" s="2819" t="s">
        <v>1074</v>
      </c>
      <c r="O11" s="2819"/>
      <c r="P11" s="3110" t="s">
        <v>1055</v>
      </c>
      <c r="Q11" s="3110" t="s">
        <v>1075</v>
      </c>
      <c r="R11" s="3110" t="s">
        <v>1076</v>
      </c>
      <c r="S11" s="3110" t="s">
        <v>1077</v>
      </c>
      <c r="T11" s="3110"/>
      <c r="U11" s="3110"/>
      <c r="V11" s="3110"/>
      <c r="W11" s="3110"/>
      <c r="X11" s="3110"/>
      <c r="Y11" s="3110"/>
      <c r="Z11" s="2886"/>
      <c r="AA11" s="2887"/>
      <c r="AB11" s="2819" t="s">
        <v>1078</v>
      </c>
      <c r="AC11" s="2819"/>
      <c r="AD11" s="2793" t="s">
        <v>1079</v>
      </c>
      <c r="AE11" s="2795"/>
      <c r="AF11" s="2891"/>
      <c r="AG11" s="2819"/>
      <c r="AH11" s="2819"/>
      <c r="AI11" s="2891"/>
      <c r="AJ11" s="2819"/>
      <c r="AK11" s="2819"/>
      <c r="AL11" s="1834"/>
      <c r="AM11" s="1819"/>
      <c r="AN11" s="1819"/>
      <c r="AO11" s="1819"/>
      <c r="AP11" s="1819"/>
      <c r="AQ11" s="1819"/>
      <c r="AR11" s="1819"/>
      <c r="AS11" s="1819"/>
      <c r="AT11" s="1819"/>
      <c r="AU11" s="1819"/>
      <c r="AV11" s="1819"/>
      <c r="AW11" s="1819"/>
      <c r="AX11" s="1819"/>
      <c r="AY11" s="1819"/>
      <c r="AZ11" s="1819"/>
      <c r="BA11" s="1819"/>
      <c r="BB11" s="1819"/>
      <c r="BC11" s="1819"/>
      <c r="BD11" s="1819"/>
      <c r="BE11" s="1819"/>
      <c r="BF11" s="1819"/>
      <c r="BG11" s="1817">
        <v>24</v>
      </c>
    </row>
    <row customHeight="1" ht="35.699999999999996">
      <c r="A12" s="1597"/>
      <c r="B12" s="1597"/>
      <c r="C12" s="1597"/>
      <c r="E12" s="1600"/>
      <c r="F12" s="3100"/>
      <c r="G12" s="3105"/>
      <c r="H12" s="3106"/>
      <c r="I12" s="1845" t="s">
        <v>90</v>
      </c>
      <c r="J12" s="1845" t="s">
        <v>1080</v>
      </c>
      <c r="K12" s="2819"/>
      <c r="L12" s="2924"/>
      <c r="M12" s="2924"/>
      <c r="N12" s="2819"/>
      <c r="O12" s="2819"/>
      <c r="P12" s="3110"/>
      <c r="Q12" s="3110"/>
      <c r="R12" s="3110"/>
      <c r="S12" s="1826" t="s">
        <v>87</v>
      </c>
      <c r="T12" s="1826" t="s">
        <v>88</v>
      </c>
      <c r="U12" s="1826" t="s">
        <v>86</v>
      </c>
      <c r="V12" s="1826" t="s">
        <v>1081</v>
      </c>
      <c r="W12" s="1826" t="s">
        <v>86</v>
      </c>
      <c r="X12" s="1826" t="s">
        <v>1082</v>
      </c>
      <c r="Y12" s="1826" t="s">
        <v>1083</v>
      </c>
      <c r="Z12" s="2892"/>
      <c r="AA12" s="2893"/>
      <c r="AB12" s="1833" t="s">
        <v>1084</v>
      </c>
      <c r="AC12" s="1833" t="s">
        <v>1085</v>
      </c>
      <c r="AD12" s="1833" t="s">
        <v>1084</v>
      </c>
      <c r="AE12" s="1833" t="s">
        <v>1085</v>
      </c>
      <c r="AF12" s="2924"/>
      <c r="AG12" s="1846" t="s">
        <v>1086</v>
      </c>
      <c r="AH12" s="1846" t="s">
        <v>1087</v>
      </c>
      <c r="AI12" s="2924"/>
      <c r="AJ12" s="1846" t="s">
        <v>1086</v>
      </c>
      <c r="AK12" s="1846" t="s">
        <v>1087</v>
      </c>
      <c r="AL12" s="1834"/>
      <c r="AM12" s="1599"/>
      <c r="AN12" s="1599"/>
      <c r="AO12" s="1599"/>
      <c r="AP12" s="1599"/>
      <c r="AQ12" s="1599"/>
      <c r="AR12" s="1599"/>
      <c r="AS12" s="1599"/>
      <c r="AT12" s="1599"/>
      <c r="AU12" s="1599"/>
      <c r="AV12" s="1599"/>
      <c r="AW12" s="1599"/>
      <c r="AX12" s="1599"/>
      <c r="AY12" s="1599"/>
      <c r="AZ12" s="1599"/>
      <c r="BA12" s="1599"/>
      <c r="BB12" s="1599"/>
      <c r="BC12" s="1599"/>
      <c r="BD12" s="1599"/>
      <c r="BE12" s="1599"/>
      <c r="BF12" s="1599"/>
      <c r="BG12" s="1450">
        <v>34</v>
      </c>
    </row>
    <row customHeight="1" ht="1.05">
      <c r="E13" s="1600"/>
      <c r="F13" s="1816">
        <v>0</v>
      </c>
      <c r="G13" s="1816"/>
      <c r="H13" s="1816"/>
      <c r="I13" s="1816"/>
      <c r="J13" s="1816"/>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41"/>
      <c r="AI13" s="1834"/>
      <c r="AJ13" s="1823"/>
      <c r="AK13" s="1823"/>
      <c r="AL13" s="1601"/>
      <c r="AM13" s="1599"/>
      <c r="AN13" s="1599"/>
      <c r="AO13" s="1599"/>
      <c r="AP13" s="1599"/>
      <c r="AQ13" s="1599"/>
      <c r="AR13" s="1599"/>
      <c r="AS13" s="1599"/>
      <c r="AT13" s="1599"/>
      <c r="AU13" s="1599"/>
      <c r="AV13" s="1599"/>
      <c r="AW13" s="1599"/>
      <c r="AX13" s="1599"/>
      <c r="AY13" s="1599"/>
      <c r="AZ13" s="1599"/>
      <c r="BA13" s="1599"/>
      <c r="BB13" s="1599"/>
      <c r="BC13" s="1599"/>
      <c r="BD13" s="1599"/>
      <c r="BE13" s="1599"/>
      <c r="BF13" s="1599"/>
      <c r="BG13" s="1450">
        <v>1</v>
      </c>
    </row>
    <row customHeight="1" ht="10.5">
      <c r="E14" s="1599"/>
      <c r="F14" s="1610"/>
      <c r="G14" s="1610"/>
      <c r="H14" s="1864"/>
      <c r="I14" s="1610"/>
      <c r="J14" s="1610"/>
      <c r="K14" s="1610"/>
      <c r="L14" s="1823"/>
      <c r="M14" s="1823"/>
      <c r="N14" s="1610"/>
      <c r="O14" s="1610"/>
      <c r="P14" s="1610"/>
      <c r="Q14" s="1610"/>
      <c r="R14" s="1610"/>
      <c r="S14" s="1610"/>
      <c r="T14" s="1610"/>
      <c r="U14" s="1610"/>
      <c r="V14" s="1610"/>
      <c r="W14" s="1610"/>
      <c r="X14" s="1610"/>
      <c r="Y14" s="1610"/>
      <c r="Z14" s="1610"/>
      <c r="AA14" s="1610"/>
      <c r="AB14" s="1610"/>
      <c r="AC14" s="1610"/>
      <c r="AD14" s="1823"/>
      <c r="AE14" s="1610"/>
      <c r="AF14" s="1610"/>
      <c r="AG14" s="1610"/>
      <c r="AH14" s="1841"/>
      <c r="AI14" s="1834"/>
      <c r="AJ14" s="1610"/>
      <c r="AK14" s="1610"/>
      <c r="AL14" s="1599"/>
      <c r="AM14" s="1599"/>
      <c r="AN14" s="1599"/>
      <c r="AO14" s="1599"/>
      <c r="AP14" s="1599"/>
      <c r="AQ14" s="1599"/>
      <c r="AR14" s="1599"/>
      <c r="AS14" s="1599"/>
      <c r="AT14" s="1599"/>
      <c r="AU14" s="1599"/>
      <c r="AV14" s="1599"/>
      <c r="AW14" s="1599"/>
      <c r="AX14" s="1599"/>
      <c r="AY14" s="1599"/>
      <c r="AZ14" s="1599"/>
      <c r="BA14" s="1599"/>
      <c r="BB14" s="1599"/>
      <c r="BC14" s="1599"/>
      <c r="BD14" s="1599"/>
      <c r="BE14" s="1599"/>
      <c r="BF14" s="1599"/>
      <c r="BG14" s="1450">
        <v>10</v>
      </c>
    </row>
    <row customHeight="1" ht="13.5">
      <c r="E15" s="1599"/>
      <c r="F15" s="1606" t="s">
        <v>1088</v>
      </c>
      <c r="G15" s="1606"/>
      <c r="H15" s="1863"/>
      <c r="I15" s="1606"/>
      <c r="J15" s="1606"/>
      <c r="K15" s="1603"/>
      <c r="L15" s="1819"/>
      <c r="M15" s="1819"/>
      <c r="N15" s="1605"/>
      <c r="O15" s="1605"/>
      <c r="P15" s="1605"/>
      <c r="Q15" s="1605"/>
      <c r="R15" s="1605"/>
      <c r="S15" s="1605"/>
      <c r="T15" s="1605"/>
      <c r="U15" s="1605"/>
      <c r="V15" s="1605"/>
      <c r="W15" s="1605"/>
      <c r="X15" s="1605"/>
      <c r="Y15" s="1605"/>
      <c r="Z15" s="1603"/>
      <c r="AA15" s="1603"/>
      <c r="AB15" s="1603"/>
      <c r="AC15" s="1603"/>
      <c r="AD15" s="1819"/>
      <c r="AE15" s="1603"/>
      <c r="AF15" s="1603"/>
      <c r="AG15" s="1603"/>
      <c r="AH15" s="1838"/>
      <c r="AI15" s="1831"/>
      <c r="AJ15" s="1603"/>
      <c r="AK15" s="1603"/>
      <c r="AL15" s="1599"/>
      <c r="AM15" s="1599"/>
      <c r="AN15" s="1599"/>
      <c r="AO15" s="1599"/>
      <c r="AP15" s="1599"/>
      <c r="AQ15" s="1599"/>
      <c r="AR15" s="1599"/>
      <c r="AS15" s="1599"/>
      <c r="AT15" s="1599"/>
      <c r="AU15" s="1599"/>
      <c r="AV15" s="1599"/>
      <c r="AW15" s="1599"/>
      <c r="AX15" s="1599"/>
      <c r="AY15" s="1599"/>
      <c r="AZ15" s="1599"/>
      <c r="BA15" s="1599"/>
      <c r="BB15" s="1599"/>
      <c r="BC15" s="1599"/>
      <c r="BD15" s="1599"/>
      <c r="BE15" s="1599"/>
      <c r="BF15" s="1599"/>
      <c r="BG15" s="1450">
        <v>13</v>
      </c>
    </row>
    <row customHeight="1" ht="10.5">
      <c r="BG16" s="1450">
        <v>10</v>
      </c>
    </row>
    <row customHeight="1" ht="10.5">
      <c r="E17" s="1599"/>
      <c r="F17" s="3099"/>
      <c r="G17" s="3099"/>
      <c r="H17" s="3099"/>
      <c r="I17" s="3099"/>
      <c r="J17" s="3099"/>
      <c r="K17" s="1603"/>
      <c r="L17" s="1819"/>
      <c r="M17" s="1819"/>
      <c r="N17" s="1605"/>
      <c r="O17" s="1605"/>
      <c r="P17" s="1605"/>
      <c r="Q17" s="1605"/>
      <c r="R17" s="1605"/>
      <c r="S17" s="1605"/>
      <c r="T17" s="1605"/>
      <c r="U17" s="1605"/>
      <c r="V17" s="1605"/>
      <c r="W17" s="1605"/>
      <c r="X17" s="1605"/>
      <c r="Y17" s="1605"/>
      <c r="Z17" s="1603"/>
      <c r="AA17" s="1603"/>
      <c r="AB17" s="1603"/>
      <c r="AC17" s="1603"/>
      <c r="AD17" s="1819"/>
      <c r="AE17" s="1603"/>
      <c r="AF17" s="1603"/>
      <c r="AG17" s="1603"/>
      <c r="AH17" s="1838"/>
      <c r="AI17" s="1831"/>
      <c r="AJ17" s="1603"/>
      <c r="AK17" s="1603"/>
      <c r="AL17" s="1599"/>
      <c r="AM17" s="1599"/>
      <c r="AN17" s="1599"/>
      <c r="AO17" s="1599"/>
      <c r="AP17" s="1599"/>
      <c r="AQ17" s="1599"/>
      <c r="AR17" s="1599"/>
      <c r="AS17" s="1599"/>
      <c r="AT17" s="1599"/>
      <c r="AU17" s="1599"/>
      <c r="AV17" s="1599"/>
      <c r="AW17" s="1599"/>
      <c r="AX17" s="1599"/>
      <c r="AY17" s="1599"/>
      <c r="AZ17" s="1599"/>
      <c r="BA17" s="1599"/>
      <c r="BB17" s="1599"/>
      <c r="BC17" s="1599"/>
      <c r="BD17" s="1599"/>
      <c r="BE17" s="1599"/>
      <c r="BF17" s="1599"/>
      <c r="BG17" s="1450">
        <v>10</v>
      </c>
    </row>
    <row customHeight="1" ht="10.5">
      <c r="E18" s="1599"/>
      <c r="F18" s="3099"/>
      <c r="G18" s="3099"/>
      <c r="H18" s="3099"/>
      <c r="I18" s="3099"/>
      <c r="J18" s="3099"/>
      <c r="K18" s="1603"/>
      <c r="L18" s="1819"/>
      <c r="M18" s="1819"/>
      <c r="N18" s="1605"/>
      <c r="O18" s="1605"/>
      <c r="P18" s="1605"/>
      <c r="Q18" s="1605"/>
      <c r="R18" s="1605"/>
      <c r="S18" s="1605"/>
      <c r="T18" s="1605"/>
      <c r="U18" s="1605"/>
      <c r="V18" s="1605"/>
      <c r="W18" s="1605"/>
      <c r="X18" s="1605"/>
      <c r="Y18" s="1605"/>
      <c r="Z18" s="1603"/>
      <c r="AA18" s="1603"/>
      <c r="AB18" s="1603"/>
      <c r="AC18" s="1603"/>
      <c r="AD18" s="1819"/>
      <c r="AE18" s="1603"/>
      <c r="AF18" s="1603"/>
      <c r="AG18" s="1603"/>
      <c r="AH18" s="1838"/>
      <c r="AI18" s="1831"/>
      <c r="AJ18" s="1603"/>
      <c r="AK18" s="1603"/>
      <c r="AL18" s="1599"/>
      <c r="AM18" s="1599"/>
      <c r="AN18" s="1599"/>
      <c r="AO18" s="1599"/>
      <c r="AP18" s="1599"/>
      <c r="AQ18" s="1599"/>
      <c r="AR18" s="1599"/>
      <c r="AS18" s="1599"/>
      <c r="AT18" s="1599"/>
      <c r="AU18" s="1599"/>
      <c r="AV18" s="1599"/>
      <c r="AW18" s="1599"/>
      <c r="AX18" s="1599"/>
      <c r="AY18" s="1599"/>
      <c r="AZ18" s="1599"/>
      <c r="BA18" s="1599"/>
      <c r="BB18" s="1599"/>
      <c r="BC18" s="1599"/>
      <c r="BD18" s="1599"/>
      <c r="BE18" s="1599"/>
      <c r="BF18" s="1599"/>
      <c r="BG18" s="1450">
        <v>10</v>
      </c>
    </row>
    <row customHeight="1" ht="10.5">
      <c r="E19" s="1599"/>
      <c r="F19" s="3099"/>
      <c r="G19" s="3099"/>
      <c r="H19" s="3099"/>
      <c r="I19" s="3099"/>
      <c r="J19" s="3099"/>
      <c r="K19" s="1603"/>
      <c r="L19" s="1819"/>
      <c r="M19" s="1819"/>
      <c r="N19" s="1605"/>
      <c r="O19" s="1605"/>
      <c r="P19" s="1605"/>
      <c r="Q19" s="1605"/>
      <c r="R19" s="1605"/>
      <c r="S19" s="1605"/>
      <c r="T19" s="1605"/>
      <c r="U19" s="1605"/>
      <c r="V19" s="1605"/>
      <c r="W19" s="1605"/>
      <c r="X19" s="1605"/>
      <c r="Y19" s="1605"/>
      <c r="Z19" s="1603"/>
      <c r="AA19" s="1603"/>
      <c r="AB19" s="1603"/>
      <c r="AC19" s="1603"/>
      <c r="AD19" s="1819"/>
      <c r="AE19" s="1603"/>
      <c r="AF19" s="1603"/>
      <c r="AG19" s="1603"/>
      <c r="AH19" s="1838"/>
      <c r="AI19" s="1831"/>
      <c r="AJ19" s="1603"/>
      <c r="AK19" s="1603"/>
      <c r="AL19" s="1599"/>
      <c r="AM19" s="1599"/>
      <c r="AN19" s="1599"/>
      <c r="AO19" s="1599"/>
      <c r="AP19" s="1599"/>
      <c r="AQ19" s="1599"/>
      <c r="AR19" s="1599"/>
      <c r="AS19" s="1599"/>
      <c r="AT19" s="1599"/>
      <c r="AU19" s="1599"/>
      <c r="AV19" s="1599"/>
      <c r="AW19" s="1599"/>
      <c r="AX19" s="1599"/>
      <c r="AY19" s="1599"/>
      <c r="AZ19" s="1599"/>
      <c r="BA19" s="1599"/>
      <c r="BB19" s="1599"/>
      <c r="BC19" s="1599"/>
      <c r="BD19" s="1599"/>
      <c r="BE19" s="1599"/>
      <c r="BF19" s="1599"/>
      <c r="BG19" s="1450">
        <v>10</v>
      </c>
    </row>
    <row customHeight="1" ht="10.5" hidden="1">
      <c r="A20" s="1587" t="s">
        <v>83</v>
      </c>
      <c r="B20" s="1587">
        <v>0</v>
      </c>
      <c r="C20" s="1587">
        <v>0</v>
      </c>
      <c r="D20" s="1109">
        <v>0</v>
      </c>
      <c r="E20" s="1201">
        <v>3</v>
      </c>
      <c r="F20" s="1450">
        <v>14</v>
      </c>
      <c r="G20" s="1450">
        <v>3</v>
      </c>
      <c r="H20" s="1847">
        <v>7</v>
      </c>
      <c r="I20" s="1450">
        <v>16</v>
      </c>
      <c r="J20" s="1450">
        <v>16</v>
      </c>
      <c r="K20" s="1450">
        <v>25</v>
      </c>
      <c r="L20" s="1817">
        <v>7</v>
      </c>
      <c r="M20" s="1817">
        <v>15</v>
      </c>
      <c r="N20" s="1450">
        <v>3</v>
      </c>
      <c r="O20" s="1450">
        <v>4</v>
      </c>
      <c r="P20" s="1450">
        <v>8</v>
      </c>
      <c r="Q20" s="1450">
        <v>21</v>
      </c>
      <c r="R20" s="1450">
        <v>14</v>
      </c>
      <c r="S20" s="1450">
        <v>17</v>
      </c>
      <c r="T20" s="1450">
        <v>17</v>
      </c>
      <c r="U20" s="1450">
        <v>9</v>
      </c>
      <c r="V20" s="1450">
        <v>12</v>
      </c>
      <c r="W20" s="1450">
        <v>9</v>
      </c>
      <c r="X20" s="1450">
        <v>21</v>
      </c>
      <c r="Y20" s="1450">
        <v>12</v>
      </c>
      <c r="Z20" s="1450">
        <v>3</v>
      </c>
      <c r="AA20" s="1450">
        <v>6</v>
      </c>
      <c r="AB20" s="1450">
        <v>38</v>
      </c>
      <c r="AC20" s="1450">
        <v>15</v>
      </c>
      <c r="AD20" s="1817">
        <v>0</v>
      </c>
      <c r="AE20" s="1450">
        <v>0</v>
      </c>
      <c r="AF20" s="1450">
        <v>16</v>
      </c>
      <c r="AG20" s="1450">
        <v>16</v>
      </c>
      <c r="AH20" s="1836">
        <v>16</v>
      </c>
      <c r="AI20" s="1829">
        <v>0</v>
      </c>
      <c r="AJ20" s="1450">
        <v>0</v>
      </c>
      <c r="AK20" s="1450">
        <v>0</v>
      </c>
      <c r="AL20" s="1450">
        <v>8</v>
      </c>
      <c r="AM20" s="1450">
        <v>8</v>
      </c>
      <c r="AN20" s="1450">
        <v>8</v>
      </c>
      <c r="AO20" s="1450">
        <v>8</v>
      </c>
      <c r="AP20" s="1450">
        <v>8</v>
      </c>
      <c r="AQ20" s="1450">
        <v>8</v>
      </c>
      <c r="AR20" s="1450">
        <v>8</v>
      </c>
      <c r="AS20" s="1450">
        <v>8</v>
      </c>
      <c r="AT20" s="1450">
        <v>8</v>
      </c>
      <c r="AU20" s="1450">
        <v>8</v>
      </c>
      <c r="AV20" s="1450">
        <v>8</v>
      </c>
      <c r="AW20" s="1450">
        <v>8</v>
      </c>
      <c r="AX20" s="1450">
        <v>8</v>
      </c>
      <c r="AY20" s="1450">
        <v>8</v>
      </c>
      <c r="AZ20" s="1450">
        <v>8</v>
      </c>
      <c r="BA20" s="1450">
        <v>8</v>
      </c>
      <c r="BB20" s="1450">
        <v>8</v>
      </c>
      <c r="BC20" s="1450">
        <v>8</v>
      </c>
      <c r="BD20" s="1450">
        <v>8</v>
      </c>
      <c r="BE20" s="1450">
        <v>8</v>
      </c>
      <c r="BF20" s="1450">
        <v>8</v>
      </c>
      <c r="BG20" s="1450">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89677A-BF2E-1253-6A48-141D05F23CCC}"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61934" width="4.140625" hidden="1" customWidth="1"/>
    <col min="4" max="4" style="62148" width="4.140625" hidden="1" customWidth="1"/>
    <col min="5" max="5" style="62286" width="3.00390625" customWidth="1"/>
    <col min="6" max="6" style="62286" width="6.00390625" customWidth="1"/>
    <col min="7" max="7" style="62286" width="60.00390625" customWidth="1"/>
    <col min="8" max="9" style="62286" width="21.7109375" hidden="1" customWidth="1"/>
    <col min="10" max="10" style="62286" width="0.140625" customWidth="1"/>
    <col min="11" max="11" style="62286" width="1.00390625" customWidth="1"/>
    <col min="12" max="22" style="62286" width="8.00390625" customWidth="1"/>
    <col min="23" max="23" style="62286" width="9.140625" hidden="1"/>
  </cols>
  <sheetData>
    <row s="62148" customFormat="1" customHeight="1" ht="10.5" hidden="1">
      <c r="A1" s="1858"/>
      <c r="B1" s="1858"/>
      <c r="C1" s="1858"/>
      <c r="E1" s="1229"/>
      <c r="W1" s="1852" t="s">
        <v>14</v>
      </c>
    </row>
    <row customHeight="1" ht="10.5" hidden="1">
      <c r="W2" s="1847">
        <v>0</v>
      </c>
    </row>
    <row s="62759" customFormat="1" customHeight="1" ht="10.5" hidden="1">
      <c r="A3" s="1858"/>
      <c r="B3" s="1858"/>
      <c r="C3" s="1858"/>
      <c r="D3" s="1852"/>
      <c r="E3" s="1054"/>
      <c r="W3" s="1848">
        <v>0</v>
      </c>
    </row>
    <row customHeight="1" ht="3">
      <c r="W4" s="1847">
        <v>3</v>
      </c>
    </row>
    <row customHeight="1" ht="27.299999999999997">
      <c r="F5" s="294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940"/>
      <c r="H5" s="2940"/>
      <c r="I5" s="2940"/>
      <c r="J5" s="2940"/>
      <c r="W5" s="1847">
        <v>26</v>
      </c>
    </row>
    <row customHeight="1" ht="10.5">
      <c r="F6" s="2868" t="str">
        <f>IF(org=0,"Не определено",org)</f>
        <v>АО "ДГК"</v>
      </c>
      <c r="G6" s="2868"/>
      <c r="H6" s="2868"/>
      <c r="I6" s="2868"/>
      <c r="J6" s="2868"/>
      <c r="W6" s="1847">
        <v>10</v>
      </c>
    </row>
    <row customHeight="1" ht="11.549999999999999">
      <c r="E7" s="1862"/>
      <c r="F7" s="1919"/>
      <c r="G7" s="1919"/>
      <c r="H7" s="1919"/>
      <c r="I7" s="1919"/>
      <c r="J7" s="1919"/>
      <c r="K7" s="1849"/>
      <c r="L7" s="1849"/>
      <c r="M7" s="1849"/>
      <c r="N7" s="1849"/>
      <c r="O7" s="1849"/>
      <c r="P7" s="1849"/>
      <c r="Q7" s="1849"/>
      <c r="R7" s="1849"/>
      <c r="S7" s="1849"/>
      <c r="T7" s="1849"/>
      <c r="U7" s="1849"/>
      <c r="V7" s="1849"/>
      <c r="W7" s="1847">
        <v>11</v>
      </c>
    </row>
    <row s="61695" customFormat="1" customHeight="1" ht="4.2">
      <c r="A8" s="1859"/>
      <c r="B8" s="1859"/>
      <c r="C8" s="1859"/>
      <c r="E8" s="1920"/>
      <c r="F8" s="1921"/>
      <c r="G8" s="1921"/>
      <c r="H8" s="1921"/>
      <c r="I8" s="1921"/>
      <c r="J8" s="1921"/>
      <c r="K8" s="1920"/>
      <c r="L8" s="1920"/>
      <c r="M8" s="1920"/>
      <c r="N8" s="1920"/>
      <c r="O8" s="1920"/>
      <c r="P8" s="1920"/>
      <c r="Q8" s="1920"/>
      <c r="R8" s="1920"/>
      <c r="S8" s="1920"/>
      <c r="T8" s="1920"/>
      <c r="U8" s="1920"/>
      <c r="V8" s="1920"/>
      <c r="W8" s="1203">
        <v>4</v>
      </c>
    </row>
    <row customHeight="1" ht="10.5">
      <c r="E9" s="1862"/>
      <c r="F9" s="3111" t="s">
        <v>375</v>
      </c>
      <c r="G9" s="3112"/>
      <c r="H9" s="3112"/>
      <c r="I9" s="3112"/>
      <c r="J9" s="3112"/>
      <c r="K9" s="1932"/>
      <c r="L9" s="1849"/>
      <c r="M9" s="1849"/>
      <c r="N9" s="1849"/>
      <c r="O9" s="1849"/>
      <c r="P9" s="1849"/>
      <c r="Q9" s="1849"/>
      <c r="R9" s="1849"/>
      <c r="S9" s="1849"/>
      <c r="T9" s="1849"/>
      <c r="U9" s="1849"/>
      <c r="V9" s="1849"/>
      <c r="W9" s="1847">
        <v>10</v>
      </c>
    </row>
    <row customHeight="1" ht="25.2">
      <c r="E10" s="1849"/>
      <c r="F10" s="3115" t="s">
        <v>89</v>
      </c>
      <c r="G10" s="3120" t="s">
        <v>1089</v>
      </c>
      <c r="H10" s="3118" t="s">
        <v>1090</v>
      </c>
      <c r="I10" s="3118"/>
      <c r="J10" s="3118"/>
      <c r="K10" s="1925"/>
      <c r="L10" s="1849"/>
      <c r="M10" s="1849"/>
      <c r="N10" s="1849"/>
      <c r="O10" s="1849"/>
      <c r="P10" s="1849"/>
      <c r="Q10" s="1849"/>
      <c r="R10" s="1849"/>
      <c r="S10" s="1849"/>
      <c r="T10" s="1849"/>
      <c r="U10" s="1849"/>
      <c r="V10" s="1849"/>
      <c r="W10" s="1847">
        <v>24</v>
      </c>
    </row>
    <row customHeight="1" ht="25.5">
      <c r="E11" s="1849"/>
      <c r="F11" s="3116"/>
      <c r="G11" s="3120"/>
      <c r="H11" s="3119">
        <f>INDEX(IP_MAIN_LIST_NAME_IP,MATCH(H8,IP_MAIN_LIST_IP_ID,0))&amp;" ("&amp;INDEX(IP_MAIN_START_DATE,MATCH(H8,IP_MAIN_LIST_IP_ID,0))&amp;"-"&amp;INDEX(IP_MAIN_END_DATE,MATCH(H8,IP_MAIN_LIST_IP_ID,0))&amp;")"</f>
      </c>
      <c r="I11" s="3119"/>
      <c r="J11" s="3119"/>
      <c r="K11" s="1925"/>
      <c r="L11" s="1849"/>
      <c r="M11" s="1849"/>
      <c r="N11" s="1849"/>
      <c r="O11" s="1849"/>
      <c r="P11" s="1849"/>
      <c r="Q11" s="1849"/>
      <c r="R11" s="1849"/>
      <c r="S11" s="1849"/>
      <c r="T11" s="1849"/>
      <c r="U11" s="1849"/>
      <c r="V11" s="1849"/>
      <c r="W11" s="1847">
        <v>24</v>
      </c>
    </row>
    <row customHeight="1" ht="10.5">
      <c r="F12" s="3117"/>
      <c r="G12" s="3120"/>
      <c r="H12" s="1918" t="s">
        <v>1091</v>
      </c>
      <c r="I12" s="1924"/>
      <c r="J12" s="1918"/>
      <c r="K12" s="1926"/>
      <c r="W12" s="1847">
        <v>10</v>
      </c>
    </row>
    <row customHeight="1" ht="10.5" hidden="1">
      <c r="F13" s="1918">
        <v>1</v>
      </c>
      <c r="G13" s="1918">
        <v>2</v>
      </c>
      <c r="H13" s="1918">
        <v>3</v>
      </c>
      <c r="I13" s="1918">
        <v>4</v>
      </c>
      <c r="J13" s="1918">
        <v>5</v>
      </c>
      <c r="K13" s="1926"/>
      <c r="W13" s="1847">
        <v>0</v>
      </c>
    </row>
    <row customHeight="1" ht="11.549999999999999">
      <c r="F14" s="1917" t="s">
        <v>1092</v>
      </c>
      <c r="G14" s="3113" t="s">
        <v>1093</v>
      </c>
      <c r="H14" s="3113"/>
      <c r="I14" s="3113"/>
      <c r="J14" s="3113"/>
      <c r="K14" s="1926"/>
      <c r="W14" s="1847">
        <v>11</v>
      </c>
    </row>
    <row customHeight="1" ht="11.549999999999999">
      <c r="F15" s="1922">
        <v>1</v>
      </c>
      <c r="G15" s="1382" t="s">
        <v>1094</v>
      </c>
      <c r="H15" s="1928">
        <f>SUM(I15:J15)</f>
        <v>0</v>
      </c>
      <c r="I15" s="1928">
        <f>SUM(I16:I27)</f>
        <v>0</v>
      </c>
      <c r="J15" s="1917"/>
      <c r="K15" s="1926"/>
      <c r="W15" s="1847">
        <v>11</v>
      </c>
    </row>
    <row customHeight="1" ht="24">
      <c r="F16" s="1922" t="s">
        <v>1095</v>
      </c>
      <c r="G16" s="1929" t="s">
        <v>1096</v>
      </c>
      <c r="H16" s="1928">
        <f>SUM(I16:J16)</f>
        <v>0</v>
      </c>
      <c r="I16" s="1927"/>
      <c r="J16" s="1917"/>
      <c r="K16" s="1926"/>
      <c r="W16" s="1847">
        <v>23</v>
      </c>
    </row>
    <row customHeight="1" ht="24">
      <c r="F17" s="1922" t="s">
        <v>1097</v>
      </c>
      <c r="G17" s="1929" t="s">
        <v>1098</v>
      </c>
      <c r="H17" s="1928">
        <f>SUM(I17:J17)</f>
        <v>0</v>
      </c>
      <c r="I17" s="1927"/>
      <c r="J17" s="1917"/>
      <c r="K17" s="1926"/>
      <c r="W17" s="1847">
        <v>23</v>
      </c>
    </row>
    <row customHeight="1" ht="35.699999999999996">
      <c r="F18" s="1922" t="s">
        <v>1099</v>
      </c>
      <c r="G18" s="1929" t="s">
        <v>1100</v>
      </c>
      <c r="H18" s="1928">
        <f>SUM(I18:J18)</f>
        <v>0</v>
      </c>
      <c r="I18" s="1927"/>
      <c r="J18" s="1917"/>
      <c r="K18" s="1926"/>
      <c r="W18" s="1847">
        <v>34</v>
      </c>
    </row>
    <row customHeight="1" ht="35.699999999999996">
      <c r="F19" s="1922" t="s">
        <v>1101</v>
      </c>
      <c r="G19" s="1929" t="s">
        <v>1102</v>
      </c>
      <c r="H19" s="1928">
        <f>SUM(I19:J19)</f>
        <v>0</v>
      </c>
      <c r="I19" s="1927"/>
      <c r="J19" s="1917"/>
      <c r="K19" s="1926"/>
      <c r="W19" s="1847">
        <v>34</v>
      </c>
    </row>
    <row customHeight="1" ht="48.29999999999999">
      <c r="F20" s="1922" t="s">
        <v>1103</v>
      </c>
      <c r="G20" s="1929" t="s">
        <v>1104</v>
      </c>
      <c r="H20" s="1928">
        <f>SUM(I20:J20)</f>
        <v>0</v>
      </c>
      <c r="I20" s="1927"/>
      <c r="J20" s="1917"/>
      <c r="K20" s="1926"/>
      <c r="W20" s="1847">
        <v>46</v>
      </c>
    </row>
    <row customHeight="1" ht="35.699999999999996">
      <c r="F21" s="1922" t="s">
        <v>1105</v>
      </c>
      <c r="G21" s="1929" t="s">
        <v>1106</v>
      </c>
      <c r="H21" s="1928">
        <f>SUM(I21:J21)</f>
        <v>0</v>
      </c>
      <c r="I21" s="1927"/>
      <c r="J21" s="1917"/>
      <c r="K21" s="1926"/>
      <c r="W21" s="1847">
        <v>34</v>
      </c>
    </row>
    <row customHeight="1" ht="35.699999999999996">
      <c r="F22" s="1922" t="s">
        <v>1107</v>
      </c>
      <c r="G22" s="1929" t="s">
        <v>1108</v>
      </c>
      <c r="H22" s="1928">
        <f>SUM(I22:J22)</f>
        <v>0</v>
      </c>
      <c r="I22" s="1927"/>
      <c r="J22" s="1917"/>
      <c r="K22" s="1926"/>
      <c r="W22" s="1847">
        <v>34</v>
      </c>
    </row>
    <row customHeight="1" ht="24">
      <c r="F23" s="1922" t="s">
        <v>1109</v>
      </c>
      <c r="G23" s="1929" t="s">
        <v>1110</v>
      </c>
      <c r="H23" s="1928">
        <f>SUM(I23:J23)</f>
        <v>0</v>
      </c>
      <c r="I23" s="1927"/>
      <c r="J23" s="1917"/>
      <c r="K23" s="1926"/>
      <c r="W23" s="1847">
        <v>23</v>
      </c>
    </row>
    <row customHeight="1" ht="24">
      <c r="F24" s="1922" t="s">
        <v>1111</v>
      </c>
      <c r="G24" s="1929" t="s">
        <v>1112</v>
      </c>
      <c r="H24" s="1928">
        <f>SUM(I24:J24)</f>
        <v>0</v>
      </c>
      <c r="I24" s="1927"/>
      <c r="J24" s="1917"/>
      <c r="K24" s="1926"/>
      <c r="W24" s="1847">
        <v>23</v>
      </c>
    </row>
    <row customHeight="1" ht="35.699999999999996">
      <c r="F25" s="1922" t="s">
        <v>1113</v>
      </c>
      <c r="G25" s="1929" t="s">
        <v>1114</v>
      </c>
      <c r="H25" s="1928">
        <f>SUM(I25:J25)</f>
        <v>0</v>
      </c>
      <c r="I25" s="1927"/>
      <c r="J25" s="1917"/>
      <c r="K25" s="1926"/>
      <c r="W25" s="1847">
        <v>34</v>
      </c>
    </row>
    <row customHeight="1" ht="35.699999999999996">
      <c r="F26" s="1922" t="s">
        <v>1115</v>
      </c>
      <c r="G26" s="1929" t="s">
        <v>1116</v>
      </c>
      <c r="H26" s="1928">
        <f>SUM(I26:J26)</f>
        <v>0</v>
      </c>
      <c r="I26" s="1927"/>
      <c r="J26" s="1917"/>
      <c r="K26" s="1926"/>
      <c r="W26" s="1847">
        <v>34</v>
      </c>
    </row>
    <row customHeight="1" ht="11.549999999999999">
      <c r="F27" s="1922" t="s">
        <v>1117</v>
      </c>
      <c r="G27" s="1929" t="s">
        <v>1118</v>
      </c>
      <c r="H27" s="1928">
        <f>SUM(I27:J27)</f>
        <v>0</v>
      </c>
      <c r="I27" s="1927"/>
      <c r="J27" s="1917"/>
      <c r="K27" s="1926"/>
      <c r="W27" s="1847">
        <v>11</v>
      </c>
    </row>
    <row customHeight="1" ht="11.549999999999999">
      <c r="F28" s="1922">
        <v>2</v>
      </c>
      <c r="G28" s="1382" t="s">
        <v>1119</v>
      </c>
      <c r="H28" s="1928">
        <f>SUM(I28:J28)</f>
        <v>0</v>
      </c>
      <c r="I28" s="1928">
        <f>SUM(I29:I31)</f>
        <v>0</v>
      </c>
      <c r="J28" s="1917"/>
      <c r="K28" s="1926"/>
      <c r="W28" s="1847">
        <v>11</v>
      </c>
    </row>
    <row customHeight="1" ht="11.549999999999999">
      <c r="F29" s="1922" t="s">
        <v>782</v>
      </c>
      <c r="G29" s="1929" t="s">
        <v>1120</v>
      </c>
      <c r="H29" s="1928">
        <f>SUM(I29:J29)</f>
        <v>0</v>
      </c>
      <c r="I29" s="1927"/>
      <c r="J29" s="1917"/>
      <c r="K29" s="1926"/>
      <c r="W29" s="1847">
        <v>11</v>
      </c>
    </row>
    <row customHeight="1" ht="11.549999999999999">
      <c r="F30" s="1922" t="s">
        <v>382</v>
      </c>
      <c r="G30" s="1929" t="s">
        <v>1121</v>
      </c>
      <c r="H30" s="1928">
        <f>SUM(I30:J30)</f>
        <v>0</v>
      </c>
      <c r="I30" s="1927"/>
      <c r="J30" s="1917"/>
      <c r="K30" s="1926"/>
      <c r="W30" s="1847">
        <v>11</v>
      </c>
    </row>
    <row customHeight="1" ht="11.549999999999999">
      <c r="F31" s="1922" t="s">
        <v>385</v>
      </c>
      <c r="G31" s="1929" t="s">
        <v>1122</v>
      </c>
      <c r="H31" s="1928">
        <f>SUM(I31:J31)</f>
        <v>0</v>
      </c>
      <c r="I31" s="1927"/>
      <c r="J31" s="1917"/>
      <c r="K31" s="1926"/>
      <c r="W31" s="1847">
        <v>11</v>
      </c>
    </row>
    <row customHeight="1" ht="11.549999999999999">
      <c r="F32" s="1922">
        <v>3</v>
      </c>
      <c r="G32" s="1382" t="s">
        <v>1123</v>
      </c>
      <c r="H32" s="1928">
        <f>SUM(I32:J32)</f>
        <v>0</v>
      </c>
      <c r="I32" s="1928">
        <f>SUM(I33:I34)</f>
        <v>0</v>
      </c>
      <c r="J32" s="1917"/>
      <c r="K32" s="1926"/>
      <c r="W32" s="1847">
        <v>11</v>
      </c>
    </row>
    <row customHeight="1" ht="48.29999999999999">
      <c r="F33" s="1922" t="s">
        <v>399</v>
      </c>
      <c r="G33" s="1929" t="s">
        <v>1124</v>
      </c>
      <c r="H33" s="1928">
        <f>SUM(I33:J33)</f>
        <v>0</v>
      </c>
      <c r="I33" s="1927"/>
      <c r="J33" s="1917"/>
      <c r="K33" s="1926"/>
      <c r="W33" s="1847">
        <v>46</v>
      </c>
    </row>
    <row customHeight="1" ht="11.549999999999999">
      <c r="F34" s="1922" t="s">
        <v>407</v>
      </c>
      <c r="G34" s="1929" t="s">
        <v>1125</v>
      </c>
      <c r="H34" s="1928">
        <f>SUM(I34:J34)</f>
        <v>0</v>
      </c>
      <c r="I34" s="1927"/>
      <c r="J34" s="1917"/>
      <c r="K34" s="1926"/>
      <c r="W34" s="1847">
        <v>11</v>
      </c>
    </row>
    <row customHeight="1" ht="11.549999999999999">
      <c r="F35" s="1922">
        <v>4</v>
      </c>
      <c r="G35" s="1382" t="s">
        <v>1126</v>
      </c>
      <c r="H35" s="1928">
        <f>SUM(I35:J35)</f>
        <v>0</v>
      </c>
      <c r="I35" s="1927"/>
      <c r="J35" s="1917"/>
      <c r="K35" s="1926"/>
      <c r="W35" s="1847">
        <v>11</v>
      </c>
    </row>
    <row customHeight="1" ht="11.549999999999999">
      <c r="F36" s="1922"/>
      <c r="G36" s="1385" t="s">
        <v>1127</v>
      </c>
      <c r="H36" s="1928">
        <f>SUM(I36:J36)</f>
        <v>0</v>
      </c>
      <c r="I36" s="1928">
        <f>SUM(I15,I28,I32,I35)</f>
        <v>0</v>
      </c>
      <c r="J36" s="1917"/>
      <c r="K36" s="1926"/>
      <c r="W36" s="1847">
        <v>11</v>
      </c>
    </row>
    <row customHeight="1" ht="29.25">
      <c r="F37" s="1923" t="s">
        <v>1128</v>
      </c>
      <c r="G37" s="3114" t="s">
        <v>1129</v>
      </c>
      <c r="H37" s="3114"/>
      <c r="I37" s="3114"/>
      <c r="J37" s="3114"/>
      <c r="K37" s="1926"/>
      <c r="W37" s="1847">
        <v>28</v>
      </c>
    </row>
    <row customHeight="1" ht="24">
      <c r="F38" s="1922" t="s">
        <v>118</v>
      </c>
      <c r="G38" s="1382" t="s">
        <v>1130</v>
      </c>
      <c r="H38" s="1928">
        <f>SUM(I38:J38)</f>
        <v>0</v>
      </c>
      <c r="I38" s="1928">
        <f>SUM(I39,I44,I47)</f>
        <v>0</v>
      </c>
      <c r="J38" s="1917"/>
      <c r="K38" s="1926"/>
      <c r="W38" s="1847">
        <v>23</v>
      </c>
    </row>
    <row customHeight="1" ht="11.549999999999999">
      <c r="F39" s="1922" t="s">
        <v>1095</v>
      </c>
      <c r="G39" s="1929" t="s">
        <v>1094</v>
      </c>
      <c r="H39" s="1928">
        <f>SUM(I39:J39)</f>
        <v>0</v>
      </c>
      <c r="I39" s="1928">
        <f>SUM(I40:I43)</f>
        <v>0</v>
      </c>
      <c r="J39" s="1917"/>
      <c r="K39" s="1926"/>
      <c r="W39" s="1847">
        <v>11</v>
      </c>
    </row>
    <row customHeight="1" ht="24">
      <c r="F40" s="1922" t="s">
        <v>1131</v>
      </c>
      <c r="G40" s="1930" t="s">
        <v>1132</v>
      </c>
      <c r="H40" s="1928">
        <f>SUM(I40:J40)</f>
        <v>0</v>
      </c>
      <c r="I40" s="1927"/>
      <c r="J40" s="1917"/>
      <c r="K40" s="1926"/>
      <c r="W40" s="1847">
        <v>23</v>
      </c>
    </row>
    <row customHeight="1" ht="11.549999999999999">
      <c r="F41" s="1922" t="s">
        <v>1133</v>
      </c>
      <c r="G41" s="1930" t="s">
        <v>1134</v>
      </c>
      <c r="H41" s="1928">
        <f>SUM(I41:J41)</f>
        <v>0</v>
      </c>
      <c r="I41" s="1927"/>
      <c r="J41" s="1917"/>
      <c r="K41" s="1926"/>
      <c r="W41" s="1847">
        <v>11</v>
      </c>
    </row>
    <row customHeight="1" ht="11.549999999999999">
      <c r="F42" s="1922" t="s">
        <v>1135</v>
      </c>
      <c r="G42" s="1930" t="s">
        <v>1136</v>
      </c>
      <c r="H42" s="1928">
        <f>SUM(I42:J42)</f>
        <v>0</v>
      </c>
      <c r="I42" s="1927"/>
      <c r="J42" s="1917"/>
      <c r="K42" s="1926"/>
      <c r="W42" s="1847">
        <v>11</v>
      </c>
    </row>
    <row customHeight="1" ht="35.699999999999996">
      <c r="F43" s="1922" t="s">
        <v>1137</v>
      </c>
      <c r="G43" s="1930" t="s">
        <v>1138</v>
      </c>
      <c r="H43" s="1928">
        <f>SUM(I43:J43)</f>
        <v>0</v>
      </c>
      <c r="I43" s="1927"/>
      <c r="J43" s="1917"/>
      <c r="K43" s="1926"/>
      <c r="W43" s="1847">
        <v>34</v>
      </c>
    </row>
    <row customHeight="1" ht="11.549999999999999">
      <c r="F44" s="1922" t="s">
        <v>1097</v>
      </c>
      <c r="G44" s="1929" t="s">
        <v>1123</v>
      </c>
      <c r="H44" s="1928">
        <f>SUM(I44:J44)</f>
        <v>0</v>
      </c>
      <c r="I44" s="1928">
        <f>SUM(I45:I46)</f>
        <v>0</v>
      </c>
      <c r="J44" s="1917"/>
      <c r="K44" s="1926"/>
      <c r="W44" s="1847">
        <v>11</v>
      </c>
    </row>
    <row customHeight="1" ht="48.29999999999999">
      <c r="F45" s="1922" t="s">
        <v>1139</v>
      </c>
      <c r="G45" s="1930" t="s">
        <v>1124</v>
      </c>
      <c r="H45" s="1928">
        <f>SUM(I45:J45)</f>
        <v>0</v>
      </c>
      <c r="I45" s="1927"/>
      <c r="J45" s="1917"/>
      <c r="K45" s="1926"/>
      <c r="W45" s="1847">
        <v>46</v>
      </c>
    </row>
    <row customHeight="1" ht="11.549999999999999">
      <c r="F46" s="1922" t="s">
        <v>1140</v>
      </c>
      <c r="G46" s="1930" t="s">
        <v>1125</v>
      </c>
      <c r="H46" s="1928">
        <f>SUM(I46:J46)</f>
        <v>0</v>
      </c>
      <c r="I46" s="1927"/>
      <c r="J46" s="1917"/>
      <c r="K46" s="1926"/>
      <c r="W46" s="1847">
        <v>11</v>
      </c>
    </row>
    <row customHeight="1" ht="11.549999999999999">
      <c r="F47" s="1922" t="s">
        <v>1099</v>
      </c>
      <c r="G47" s="1929" t="s">
        <v>1141</v>
      </c>
      <c r="H47" s="1928">
        <f>SUM(I47:J47)</f>
        <v>0</v>
      </c>
      <c r="I47" s="1927"/>
      <c r="J47" s="1917"/>
      <c r="K47" s="1926"/>
      <c r="W47" s="1847">
        <v>11</v>
      </c>
    </row>
    <row customHeight="1" ht="24">
      <c r="F48" s="1922" t="s">
        <v>103</v>
      </c>
      <c r="G48" s="1382" t="s">
        <v>1142</v>
      </c>
      <c r="H48" s="1928">
        <f>SUM(I48:J48)</f>
        <v>0</v>
      </c>
      <c r="I48" s="1928">
        <f>SUM(I49,I54,I57)</f>
        <v>0</v>
      </c>
      <c r="J48" s="1917"/>
      <c r="K48" s="1926"/>
      <c r="W48" s="1847">
        <v>23</v>
      </c>
    </row>
    <row customHeight="1" ht="11.549999999999999">
      <c r="F49" s="1922" t="s">
        <v>782</v>
      </c>
      <c r="G49" s="1929" t="s">
        <v>1094</v>
      </c>
      <c r="H49" s="1928">
        <f>SUM(I49:J49)</f>
        <v>0</v>
      </c>
      <c r="I49" s="1928">
        <f>SUM(I50:I53)</f>
        <v>0</v>
      </c>
      <c r="J49" s="1917"/>
      <c r="K49" s="1926"/>
      <c r="W49" s="1847">
        <v>11</v>
      </c>
    </row>
    <row customHeight="1" ht="24">
      <c r="F50" s="1922" t="s">
        <v>785</v>
      </c>
      <c r="G50" s="1930" t="s">
        <v>1132</v>
      </c>
      <c r="H50" s="1928">
        <f>SUM(I50:J50)</f>
        <v>0</v>
      </c>
      <c r="I50" s="1927"/>
      <c r="J50" s="1917"/>
      <c r="K50" s="1926"/>
      <c r="W50" s="1847">
        <v>23</v>
      </c>
    </row>
    <row customHeight="1" ht="11.549999999999999">
      <c r="F51" s="1922" t="s">
        <v>788</v>
      </c>
      <c r="G51" s="1930" t="s">
        <v>1134</v>
      </c>
      <c r="H51" s="1928">
        <f>SUM(I51:J51)</f>
        <v>0</v>
      </c>
      <c r="I51" s="1927"/>
      <c r="J51" s="1917"/>
      <c r="K51" s="1926"/>
      <c r="W51" s="1847">
        <v>11</v>
      </c>
    </row>
    <row customHeight="1" ht="11.549999999999999">
      <c r="F52" s="1922" t="s">
        <v>1143</v>
      </c>
      <c r="G52" s="1930" t="s">
        <v>1136</v>
      </c>
      <c r="H52" s="1928">
        <f>SUM(I52:J52)</f>
        <v>0</v>
      </c>
      <c r="I52" s="1927"/>
      <c r="J52" s="1917"/>
      <c r="K52" s="1926"/>
      <c r="W52" s="1847">
        <v>11</v>
      </c>
    </row>
    <row customHeight="1" ht="35.699999999999996">
      <c r="F53" s="1922" t="s">
        <v>1144</v>
      </c>
      <c r="G53" s="1930" t="s">
        <v>1138</v>
      </c>
      <c r="H53" s="1928">
        <f>SUM(I53:J53)</f>
        <v>0</v>
      </c>
      <c r="I53" s="1927"/>
      <c r="J53" s="1917"/>
      <c r="K53" s="1926"/>
      <c r="W53" s="1847">
        <v>34</v>
      </c>
    </row>
    <row customHeight="1" ht="11.549999999999999">
      <c r="F54" s="1922" t="s">
        <v>382</v>
      </c>
      <c r="G54" s="1929" t="s">
        <v>1123</v>
      </c>
      <c r="H54" s="1928">
        <f>SUM(I54:J54)</f>
        <v>0</v>
      </c>
      <c r="I54" s="1928">
        <f>SUM(I55:I56)</f>
        <v>0</v>
      </c>
      <c r="J54" s="1917"/>
      <c r="K54" s="1926"/>
      <c r="W54" s="1847">
        <v>11</v>
      </c>
    </row>
    <row customHeight="1" ht="48.29999999999999">
      <c r="F55" s="1922" t="s">
        <v>792</v>
      </c>
      <c r="G55" s="1930" t="s">
        <v>1124</v>
      </c>
      <c r="H55" s="1928">
        <f>SUM(I55:J55)</f>
        <v>0</v>
      </c>
      <c r="I55" s="1927"/>
      <c r="J55" s="1917"/>
      <c r="K55" s="1926"/>
      <c r="W55" s="1847">
        <v>46</v>
      </c>
    </row>
    <row customHeight="1" ht="11.549999999999999">
      <c r="F56" s="1922" t="s">
        <v>794</v>
      </c>
      <c r="G56" s="1930" t="s">
        <v>1125</v>
      </c>
      <c r="H56" s="1928">
        <f>SUM(I56:J56)</f>
        <v>0</v>
      </c>
      <c r="I56" s="1927"/>
      <c r="J56" s="1917"/>
      <c r="K56" s="1926"/>
      <c r="W56" s="1847">
        <v>11</v>
      </c>
    </row>
    <row customHeight="1" ht="11.549999999999999">
      <c r="F57" s="1922" t="s">
        <v>385</v>
      </c>
      <c r="G57" s="1929" t="s">
        <v>1141</v>
      </c>
      <c r="H57" s="1928">
        <f>SUM(I57:J57)</f>
        <v>0</v>
      </c>
      <c r="I57" s="1927"/>
      <c r="J57" s="1917"/>
      <c r="K57" s="1926"/>
      <c r="W57" s="1847">
        <v>11</v>
      </c>
    </row>
    <row customHeight="1" ht="11.549999999999999">
      <c r="F58" s="1922"/>
      <c r="G58" s="1931" t="s">
        <v>1127</v>
      </c>
      <c r="H58" s="1928">
        <f>SUM(I58:J58)</f>
        <v>0</v>
      </c>
      <c r="I58" s="1928">
        <f>SUM(I38,I48)</f>
        <v>0</v>
      </c>
      <c r="J58" s="1917"/>
      <c r="K58" s="1926"/>
      <c r="W58" s="1847">
        <v>11</v>
      </c>
    </row>
    <row customHeight="1" ht="10.5" hidden="1">
      <c r="A59" s="1858" t="s">
        <v>83</v>
      </c>
      <c r="B59" s="1858">
        <v>0</v>
      </c>
      <c r="C59" s="1858">
        <v>0</v>
      </c>
      <c r="D59" s="1852">
        <v>0</v>
      </c>
      <c r="E59" s="1201">
        <v>3</v>
      </c>
      <c r="F59" s="1847">
        <v>6</v>
      </c>
      <c r="G59" s="1847">
        <v>60</v>
      </c>
      <c r="H59" s="1847">
        <v>0</v>
      </c>
      <c r="I59" s="1847">
        <v>0</v>
      </c>
      <c r="J59" s="1847">
        <v>0</v>
      </c>
      <c r="K59" s="1847">
        <v>1</v>
      </c>
      <c r="L59" s="1847">
        <v>8</v>
      </c>
      <c r="M59" s="1847">
        <v>8</v>
      </c>
      <c r="N59" s="1847">
        <v>8</v>
      </c>
      <c r="O59" s="1847">
        <v>8</v>
      </c>
      <c r="P59" s="1847">
        <v>8</v>
      </c>
      <c r="Q59" s="1847">
        <v>8</v>
      </c>
      <c r="R59" s="1847">
        <v>8</v>
      </c>
      <c r="S59" s="1847">
        <v>8</v>
      </c>
      <c r="T59" s="1847">
        <v>8</v>
      </c>
      <c r="U59" s="1847">
        <v>8</v>
      </c>
      <c r="V59" s="1847">
        <v>8</v>
      </c>
      <c r="W59" s="1847">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FC8F3A-04F8-3004-C16F-DCA7FE26EEF7}"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62108" width="4.7109375" hidden="1" customWidth="1"/>
    <col min="2" max="2" style="62110" width="4.7109375" hidden="1" customWidth="1"/>
    <col min="3" max="4" style="62108" width="4.7109375" hidden="1" customWidth="1"/>
    <col min="5" max="5" style="62108" width="3.00390625" customWidth="1"/>
    <col min="6" max="6" style="62108" width="6.00390625" customWidth="1"/>
    <col min="7" max="7" style="62108" width="18.00390625" customWidth="1"/>
    <col min="8" max="8" style="62108" width="27.00390625" customWidth="1"/>
    <col min="9" max="9" style="62108" width="18.00390625" customWidth="1"/>
    <col min="10" max="14" style="62108" width="0.8515625" hidden="1" customWidth="1"/>
    <col min="15" max="28" style="62108" width="21.7109375" customWidth="1"/>
    <col min="29" max="71" style="62108" width="0.8515625" customWidth="1"/>
    <col min="72" max="79" style="62108" width="21.7109375" hidden="1" customWidth="1"/>
    <col min="80" max="81" style="62108" width="29.140625" hidden="1" customWidth="1"/>
    <col min="82" max="89" style="62108" width="21.7109375" hidden="1" customWidth="1"/>
    <col min="90" max="102" style="62108" width="0.7109375" hidden="1" customWidth="1"/>
    <col min="103" max="114" style="62108" width="21.7109375" hidden="1" customWidth="1"/>
    <col min="115" max="178" style="62108" width="0.7109375" hidden="1" customWidth="1"/>
    <col min="179" max="179" style="62108" width="0.140625" customWidth="1"/>
    <col min="180" max="184" style="62108" width="8.00390625" customWidth="1"/>
    <col min="185" max="185" style="62108" width="9.140625" hidden="1"/>
  </cols>
  <sheetData>
    <row s="62038" customFormat="1" customHeight="1" ht="12" hidden="1">
      <c r="B1" s="1615"/>
      <c r="C1" s="1616"/>
      <c r="D1" s="1616"/>
      <c r="GC1" s="1614" t="s">
        <v>14</v>
      </c>
    </row>
    <row s="62038" customFormat="1" customHeight="1" ht="12" hidden="1">
      <c r="B2" s="1615"/>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7"/>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GC2" s="1614">
        <v>0</v>
      </c>
    </row>
    <row s="62038" customFormat="1" customHeight="1" ht="12" hidden="1">
      <c r="B3" s="1615"/>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7"/>
      <c r="AC3" s="1616"/>
      <c r="AD3" s="1616"/>
      <c r="AE3" s="1616"/>
      <c r="AF3" s="1616"/>
      <c r="AG3" s="1616"/>
      <c r="AH3" s="1616"/>
      <c r="AI3" s="1616"/>
      <c r="AJ3" s="1616"/>
      <c r="AK3" s="1616"/>
      <c r="AL3" s="1616"/>
      <c r="AM3" s="1616"/>
      <c r="AN3" s="1616"/>
      <c r="AO3" s="1616"/>
      <c r="AP3" s="1616"/>
      <c r="AQ3" s="1616"/>
      <c r="AR3" s="1616"/>
      <c r="AS3" s="1616"/>
      <c r="AT3" s="1616"/>
      <c r="AU3" s="1616"/>
      <c r="AV3" s="1616"/>
      <c r="AW3" s="1616"/>
      <c r="AX3" s="1616"/>
      <c r="AY3" s="1616"/>
      <c r="AZ3" s="1616"/>
      <c r="BA3" s="1616"/>
      <c r="BB3" s="1616"/>
      <c r="BC3" s="1616"/>
      <c r="BD3" s="1616"/>
      <c r="BE3" s="1616"/>
      <c r="BF3" s="1616"/>
      <c r="BG3" s="1616"/>
      <c r="BH3" s="1616"/>
      <c r="BI3" s="1616"/>
      <c r="BJ3" s="1616"/>
      <c r="BK3" s="1616"/>
      <c r="BL3" s="1616"/>
      <c r="BM3" s="1616"/>
      <c r="BN3" s="1616"/>
      <c r="BO3" s="1616"/>
      <c r="BP3" s="1616"/>
      <c r="BQ3" s="1616"/>
      <c r="BR3" s="1616"/>
      <c r="BS3" s="1616"/>
      <c r="BT3" s="1616"/>
      <c r="BU3" s="1616"/>
      <c r="BV3" s="1616"/>
      <c r="BW3" s="1616"/>
      <c r="BX3" s="1616"/>
      <c r="BY3" s="1616"/>
      <c r="BZ3" s="1616"/>
      <c r="CA3" s="1616"/>
      <c r="CB3" s="1616"/>
      <c r="CC3" s="1616"/>
      <c r="CD3" s="1616"/>
      <c r="CE3" s="1616"/>
      <c r="CF3" s="1616"/>
      <c r="CG3" s="1616"/>
      <c r="CH3" s="1616"/>
      <c r="CI3" s="1616"/>
      <c r="CJ3" s="1616"/>
      <c r="CK3" s="1616"/>
      <c r="CL3" s="1616"/>
      <c r="CM3" s="1616"/>
      <c r="CN3" s="1616"/>
      <c r="CO3" s="1616"/>
      <c r="CP3" s="1616"/>
      <c r="CQ3" s="1616"/>
      <c r="CR3" s="1616"/>
      <c r="CS3" s="1616"/>
      <c r="CT3" s="1616"/>
      <c r="CU3" s="1616"/>
      <c r="CV3" s="1616"/>
      <c r="CW3" s="1616"/>
      <c r="CX3" s="1616"/>
      <c r="CY3" s="1616"/>
      <c r="CZ3" s="1616"/>
      <c r="DA3" s="1616"/>
      <c r="DB3" s="1616"/>
      <c r="DC3" s="1616"/>
      <c r="DD3" s="1616"/>
      <c r="DE3" s="1616"/>
      <c r="DF3" s="1616"/>
      <c r="DG3" s="1616"/>
      <c r="DH3" s="1616"/>
      <c r="DI3" s="1616"/>
      <c r="DJ3" s="1616"/>
      <c r="DK3" s="1616"/>
      <c r="DL3" s="1616"/>
      <c r="DM3" s="1616"/>
      <c r="DN3" s="1616"/>
      <c r="DO3" s="1616"/>
      <c r="DP3" s="1616"/>
      <c r="DQ3" s="1616"/>
      <c r="DR3" s="1616"/>
      <c r="DS3" s="1616"/>
      <c r="DT3" s="1616"/>
      <c r="DU3" s="1616"/>
      <c r="DV3" s="1616"/>
      <c r="DW3" s="1616"/>
      <c r="DX3" s="1616"/>
      <c r="DY3" s="1616"/>
      <c r="DZ3" s="1616"/>
      <c r="EA3" s="1616"/>
      <c r="EB3" s="1616"/>
      <c r="EC3" s="1616"/>
      <c r="ED3" s="1616"/>
      <c r="EE3" s="1616"/>
      <c r="EF3" s="1616"/>
      <c r="EG3" s="1616"/>
      <c r="EH3" s="1616"/>
      <c r="EI3" s="1616"/>
      <c r="EJ3" s="1616"/>
      <c r="EK3" s="1616"/>
      <c r="EL3" s="1616"/>
      <c r="EM3" s="1616"/>
      <c r="EN3" s="1616"/>
      <c r="EO3" s="1616"/>
      <c r="EP3" s="1616"/>
      <c r="EQ3" s="1616"/>
      <c r="ER3" s="1616"/>
      <c r="ES3" s="1616"/>
      <c r="ET3" s="1616"/>
      <c r="EU3" s="1616"/>
      <c r="EV3" s="1616"/>
      <c r="EW3" s="1616"/>
      <c r="EX3" s="1616"/>
      <c r="EY3" s="1616"/>
      <c r="EZ3" s="1616"/>
      <c r="FA3" s="1616"/>
      <c r="FB3" s="1616"/>
      <c r="FC3" s="1616"/>
      <c r="FD3" s="1616"/>
      <c r="FE3" s="1616"/>
      <c r="FF3" s="1616"/>
      <c r="FG3" s="1616"/>
      <c r="FH3" s="1616"/>
      <c r="FI3" s="1616"/>
      <c r="FJ3" s="1616"/>
      <c r="FK3" s="1616"/>
      <c r="FL3" s="1616"/>
      <c r="FM3" s="1616"/>
      <c r="FN3" s="1616"/>
      <c r="FO3" s="1616"/>
      <c r="FP3" s="1616"/>
      <c r="FQ3" s="1616"/>
      <c r="FR3" s="1616"/>
      <c r="FS3" s="1616"/>
      <c r="FT3" s="1616"/>
      <c r="FU3" s="1616"/>
      <c r="FV3" s="1616"/>
      <c r="FW3" s="1616"/>
      <c r="GC3" s="1614">
        <v>0</v>
      </c>
    </row>
    <row customHeight="1" ht="10.5">
      <c r="B4" s="1619"/>
      <c r="C4" s="1620"/>
      <c r="D4" s="1620"/>
      <c r="E4" s="1620"/>
      <c r="F4" s="1620"/>
      <c r="G4" s="1620"/>
      <c r="H4" s="1621"/>
      <c r="I4" s="1621"/>
      <c r="J4" s="1621"/>
      <c r="K4" s="1621"/>
      <c r="L4" s="1621"/>
      <c r="M4" s="1622"/>
      <c r="N4" s="1622"/>
      <c r="O4" s="1622"/>
      <c r="P4" s="1622"/>
      <c r="Q4" s="1622"/>
      <c r="R4" s="1622"/>
      <c r="S4" s="1622"/>
      <c r="T4" s="1622"/>
      <c r="U4" s="1622"/>
      <c r="V4" s="1622"/>
      <c r="W4" s="1622"/>
      <c r="X4" s="1622"/>
      <c r="Y4" s="1622"/>
      <c r="Z4" s="1622"/>
      <c r="AA4" s="1622"/>
      <c r="AB4" s="1622"/>
      <c r="AC4" s="1622"/>
      <c r="AD4" s="1622"/>
      <c r="AE4" s="1622"/>
      <c r="AF4" s="1622"/>
      <c r="AG4" s="1622"/>
      <c r="AH4" s="1622"/>
      <c r="AI4" s="1622"/>
      <c r="AJ4" s="1622"/>
      <c r="AK4" s="1622"/>
      <c r="AL4" s="1622"/>
      <c r="AM4" s="1622"/>
      <c r="AN4" s="1622"/>
      <c r="AO4" s="1622"/>
      <c r="AP4" s="1622"/>
      <c r="AQ4" s="1622"/>
      <c r="AR4" s="1622"/>
      <c r="AS4" s="1622"/>
      <c r="AT4" s="1622"/>
      <c r="AU4" s="1622"/>
      <c r="AV4" s="1622"/>
      <c r="AW4" s="1622"/>
      <c r="AX4" s="1622"/>
      <c r="AY4" s="1622"/>
      <c r="AZ4" s="1622"/>
      <c r="BA4" s="1622"/>
      <c r="BB4" s="1622"/>
      <c r="BC4" s="1622"/>
      <c r="BD4" s="1622"/>
      <c r="BE4" s="1622"/>
      <c r="BF4" s="1622"/>
      <c r="BG4" s="1622"/>
      <c r="BH4" s="1622"/>
      <c r="BI4" s="1622"/>
      <c r="BJ4" s="1622"/>
      <c r="BK4" s="1622"/>
      <c r="BL4" s="1622"/>
      <c r="BM4" s="1622"/>
      <c r="BN4" s="1622"/>
      <c r="BO4" s="1622"/>
      <c r="BP4" s="1622"/>
      <c r="BQ4" s="1622"/>
      <c r="BR4" s="1622"/>
      <c r="BS4" s="1622"/>
      <c r="BT4" s="1622"/>
      <c r="BU4" s="1622"/>
      <c r="BV4" s="1622"/>
      <c r="BW4" s="1622"/>
      <c r="BX4" s="1622"/>
      <c r="BY4" s="1622"/>
      <c r="BZ4" s="1622"/>
      <c r="CA4" s="1622"/>
      <c r="CB4" s="1622"/>
      <c r="CC4" s="1622"/>
      <c r="CD4" s="1622"/>
      <c r="CE4" s="1622"/>
      <c r="CF4" s="1622"/>
      <c r="CG4" s="1622"/>
      <c r="CH4" s="1622"/>
      <c r="CI4" s="1622"/>
      <c r="CJ4" s="1622"/>
      <c r="CK4" s="1622"/>
      <c r="CL4" s="1622"/>
      <c r="CM4" s="1622"/>
      <c r="CN4" s="1622"/>
      <c r="CO4" s="1622"/>
      <c r="CP4" s="1622"/>
      <c r="CQ4" s="1622"/>
      <c r="CR4" s="1622"/>
      <c r="CS4" s="1622"/>
      <c r="CT4" s="1622"/>
      <c r="CU4" s="1622"/>
      <c r="CV4" s="1622"/>
      <c r="CW4" s="1622"/>
      <c r="CX4" s="1622"/>
      <c r="CY4" s="1622"/>
      <c r="CZ4" s="1622"/>
      <c r="DA4" s="1622"/>
      <c r="DB4" s="1622"/>
      <c r="DC4" s="1622"/>
      <c r="DD4" s="1622"/>
      <c r="DE4" s="1622"/>
      <c r="DF4" s="1622"/>
      <c r="DG4" s="1622"/>
      <c r="DH4" s="1622"/>
      <c r="DI4" s="1622"/>
      <c r="DJ4" s="1622"/>
      <c r="DK4" s="1622"/>
      <c r="DL4" s="1622"/>
      <c r="DM4" s="1622"/>
      <c r="DN4" s="1622"/>
      <c r="DO4" s="1622"/>
      <c r="DP4" s="1622"/>
      <c r="DQ4" s="1622"/>
      <c r="DR4" s="1622"/>
      <c r="DS4" s="1622"/>
      <c r="DT4" s="1622"/>
      <c r="DU4" s="1622"/>
      <c r="DV4" s="1622"/>
      <c r="DW4" s="1622"/>
      <c r="DX4" s="1622"/>
      <c r="DY4" s="1622"/>
      <c r="DZ4" s="1622"/>
      <c r="EA4" s="1622"/>
      <c r="EB4" s="1622"/>
      <c r="EC4" s="1622"/>
      <c r="ED4" s="1622"/>
      <c r="EE4" s="1622"/>
      <c r="EF4" s="1622"/>
      <c r="EG4" s="1622"/>
      <c r="EH4" s="1622"/>
      <c r="EI4" s="1622"/>
      <c r="EJ4" s="1622"/>
      <c r="EK4" s="1622"/>
      <c r="EL4" s="1622"/>
      <c r="EM4" s="1622"/>
      <c r="EN4" s="1622"/>
      <c r="EO4" s="1622"/>
      <c r="EP4" s="1622"/>
      <c r="EQ4" s="1622"/>
      <c r="ER4" s="1622"/>
      <c r="ES4" s="1622"/>
      <c r="ET4" s="1622"/>
      <c r="EU4" s="1622"/>
      <c r="EV4" s="1622"/>
      <c r="EW4" s="1622"/>
      <c r="EX4" s="1622"/>
      <c r="EY4" s="1622"/>
      <c r="EZ4" s="1622"/>
      <c r="FA4" s="1622"/>
      <c r="FB4" s="1622"/>
      <c r="FC4" s="1622"/>
      <c r="FD4" s="1622"/>
      <c r="FE4" s="1622"/>
      <c r="FF4" s="1622"/>
      <c r="FG4" s="1622"/>
      <c r="FH4" s="1622"/>
      <c r="FI4" s="1622"/>
      <c r="FJ4" s="1622"/>
      <c r="FK4" s="1622"/>
      <c r="FL4" s="1622"/>
      <c r="FM4" s="1622"/>
      <c r="FN4" s="1622"/>
      <c r="FO4" s="1622"/>
      <c r="FP4" s="1622"/>
      <c r="FQ4" s="1622"/>
      <c r="FR4" s="1622"/>
      <c r="FS4" s="1622"/>
      <c r="FT4" s="1622"/>
      <c r="FU4" s="1622"/>
      <c r="FV4" s="1622"/>
      <c r="FW4" s="1622"/>
      <c r="GC4" s="1618">
        <v>10</v>
      </c>
    </row>
    <row s="62048" customFormat="1" customHeight="1" ht="27.299999999999997">
      <c r="B5" s="2564"/>
      <c r="E5" s="2566"/>
      <c r="F5" s="312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861"/>
      <c r="H5" s="2861"/>
      <c r="I5" s="2861"/>
      <c r="J5" s="2861"/>
      <c r="K5" s="2861"/>
      <c r="L5" s="2861"/>
      <c r="M5" s="2861"/>
      <c r="N5" s="2861"/>
      <c r="O5" s="2861"/>
      <c r="P5" s="2861"/>
      <c r="Q5" s="2861"/>
      <c r="R5" s="2861"/>
      <c r="S5" s="2861"/>
      <c r="T5" s="2861"/>
      <c r="U5" s="2861"/>
      <c r="V5" s="2861"/>
      <c r="W5" s="2861"/>
      <c r="X5" s="2861"/>
      <c r="Y5" s="2861"/>
      <c r="Z5" s="2861"/>
      <c r="AA5" s="2861"/>
      <c r="AB5" s="2861"/>
      <c r="AC5" s="2861"/>
      <c r="AD5" s="2861"/>
      <c r="AE5" s="2861"/>
      <c r="AF5" s="2861"/>
      <c r="AG5" s="2861"/>
      <c r="AH5" s="2861"/>
      <c r="AI5" s="2861"/>
      <c r="AJ5" s="2861"/>
      <c r="AK5" s="2861"/>
      <c r="AL5" s="2861"/>
      <c r="AM5" s="2861"/>
      <c r="AN5" s="2861"/>
      <c r="AO5" s="2861"/>
      <c r="AP5" s="2861"/>
      <c r="AQ5" s="2861"/>
      <c r="AR5" s="2861"/>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c r="BP5" s="2861"/>
      <c r="BQ5" s="2861"/>
      <c r="BR5" s="2861"/>
      <c r="BS5" s="2861"/>
      <c r="GC5" s="2565">
        <v>26</v>
      </c>
    </row>
    <row s="63054" customFormat="1" customHeight="1" ht="18.75">
      <c r="B6" s="1635"/>
      <c r="E6" s="1637"/>
      <c r="F6" s="2906" t="str">
        <f>IF(org=0,"Не определено",org)</f>
        <v>АО "ДГК"</v>
      </c>
      <c r="G6" s="2907"/>
      <c r="H6" s="2907"/>
      <c r="I6" s="2907"/>
      <c r="J6" s="2907"/>
      <c r="K6" s="2907"/>
      <c r="L6" s="2907"/>
      <c r="M6" s="2907"/>
      <c r="N6" s="2907"/>
      <c r="O6" s="2907"/>
      <c r="P6" s="2907"/>
      <c r="Q6" s="2907"/>
      <c r="R6" s="2907"/>
      <c r="S6" s="2907"/>
      <c r="T6" s="2907"/>
      <c r="U6" s="2907"/>
      <c r="V6" s="2907"/>
      <c r="W6" s="2907"/>
      <c r="X6" s="2907"/>
      <c r="Y6" s="2907"/>
      <c r="Z6" s="2907"/>
      <c r="AA6" s="2907"/>
      <c r="AB6" s="2907"/>
      <c r="AC6" s="2907"/>
      <c r="AD6" s="2907"/>
      <c r="AE6" s="2907"/>
      <c r="AF6" s="2907"/>
      <c r="AG6" s="2907"/>
      <c r="AH6" s="2907"/>
      <c r="AI6" s="2907"/>
      <c r="AJ6" s="2907"/>
      <c r="AK6" s="2907"/>
      <c r="AL6" s="2907"/>
      <c r="AM6" s="2907"/>
      <c r="AN6" s="2907"/>
      <c r="AO6" s="2907"/>
      <c r="AP6" s="2907"/>
      <c r="AQ6" s="2907"/>
      <c r="AR6" s="2907"/>
      <c r="AS6" s="2907"/>
      <c r="AT6" s="2907"/>
      <c r="AU6" s="2907"/>
      <c r="AV6" s="2907"/>
      <c r="AW6" s="2907"/>
      <c r="AX6" s="2907"/>
      <c r="AY6" s="2907"/>
      <c r="AZ6" s="2907"/>
      <c r="BA6" s="2907"/>
      <c r="BB6" s="2907"/>
      <c r="BC6" s="2907"/>
      <c r="BD6" s="2907"/>
      <c r="BE6" s="2907"/>
      <c r="BF6" s="2907"/>
      <c r="BG6" s="2907"/>
      <c r="BH6" s="2907"/>
      <c r="BI6" s="2907"/>
      <c r="BJ6" s="2907"/>
      <c r="BK6" s="2907"/>
      <c r="BL6" s="2907"/>
      <c r="BM6" s="2907"/>
      <c r="BN6" s="2907"/>
      <c r="BO6" s="2907"/>
      <c r="BP6" s="2907"/>
      <c r="BQ6" s="2907"/>
      <c r="BR6" s="2907"/>
      <c r="BS6" s="2907"/>
      <c r="GC6" s="1636">
        <v>18</v>
      </c>
    </row>
    <row s="62057" customFormat="1" customHeight="1" ht="10.5">
      <c r="B7" s="1624"/>
      <c r="E7" s="1625"/>
      <c r="F7" s="1625"/>
      <c r="G7" s="1627"/>
      <c r="H7" s="1621"/>
      <c r="I7" s="1621"/>
      <c r="J7" s="1621"/>
      <c r="K7" s="1621"/>
      <c r="L7" s="1621"/>
      <c r="M7" s="1625"/>
      <c r="N7" s="1625"/>
      <c r="O7" s="1625"/>
      <c r="P7" s="1625"/>
      <c r="Q7" s="1625"/>
      <c r="R7" s="1625"/>
      <c r="S7" s="1625"/>
      <c r="T7" s="1625"/>
      <c r="U7" s="1625"/>
      <c r="V7" s="1625"/>
      <c r="W7" s="1625"/>
      <c r="X7" s="1625"/>
      <c r="Y7" s="1625"/>
      <c r="Z7" s="1625"/>
      <c r="AA7" s="1625"/>
      <c r="AB7" s="1625"/>
      <c r="AC7" s="1625"/>
      <c r="AD7" s="1625"/>
      <c r="AE7" s="1625"/>
      <c r="AF7" s="1625"/>
      <c r="AG7" s="1625"/>
      <c r="AH7" s="1625"/>
      <c r="AI7" s="1625"/>
      <c r="AJ7" s="1625"/>
      <c r="AK7" s="1625"/>
      <c r="AL7" s="1625"/>
      <c r="AM7" s="1625"/>
      <c r="AN7" s="1625"/>
      <c r="AO7" s="1625"/>
      <c r="AP7" s="1625"/>
      <c r="AQ7" s="1625"/>
      <c r="AR7" s="1625"/>
      <c r="AS7" s="1625"/>
      <c r="AT7" s="1625"/>
      <c r="AU7" s="1625"/>
      <c r="AV7" s="1625"/>
      <c r="AW7" s="1625"/>
      <c r="AX7" s="1625"/>
      <c r="AY7" s="1625"/>
      <c r="AZ7" s="1625"/>
      <c r="BA7" s="1625"/>
      <c r="BB7" s="1625"/>
      <c r="BC7" s="1625"/>
      <c r="BD7" s="1625"/>
      <c r="BE7" s="1625"/>
      <c r="BF7" s="1625"/>
      <c r="BG7" s="1625"/>
      <c r="BH7" s="1625"/>
      <c r="BI7" s="1625"/>
      <c r="BJ7" s="1625"/>
      <c r="BK7" s="1625"/>
      <c r="BL7" s="1625"/>
      <c r="BM7" s="1625"/>
      <c r="BN7" s="1625"/>
      <c r="BO7" s="1625"/>
      <c r="BP7" s="1625"/>
      <c r="BQ7" s="1625"/>
      <c r="BR7" s="1625"/>
      <c r="BS7" s="1625"/>
      <c r="BT7" s="1625"/>
      <c r="BU7" s="1625"/>
      <c r="BV7" s="1625"/>
      <c r="BW7" s="1625"/>
      <c r="BX7" s="1625"/>
      <c r="BY7" s="1625"/>
      <c r="BZ7" s="1625"/>
      <c r="CA7" s="1625"/>
      <c r="CB7" s="1625"/>
      <c r="CC7" s="1625"/>
      <c r="CD7" s="1625"/>
      <c r="CE7" s="1625"/>
      <c r="CF7" s="1625"/>
      <c r="CG7" s="1625"/>
      <c r="CH7" s="1625"/>
      <c r="CI7" s="1625"/>
      <c r="CJ7" s="1625"/>
      <c r="CK7" s="1625"/>
      <c r="CL7" s="1625"/>
      <c r="CM7" s="1625"/>
      <c r="CN7" s="1625"/>
      <c r="CO7" s="1625"/>
      <c r="CP7" s="1625"/>
      <c r="CQ7" s="1625"/>
      <c r="CR7" s="1625"/>
      <c r="CS7" s="1625"/>
      <c r="CT7" s="1625"/>
      <c r="CU7" s="1625"/>
      <c r="CV7" s="1625"/>
      <c r="CW7" s="1625"/>
      <c r="CX7" s="1625"/>
      <c r="CY7" s="1625"/>
      <c r="CZ7" s="1625"/>
      <c r="DA7" s="1625"/>
      <c r="DB7" s="1625"/>
      <c r="DC7" s="1625"/>
      <c r="DD7" s="1625"/>
      <c r="DE7" s="1625"/>
      <c r="DF7" s="1625"/>
      <c r="DG7" s="1625"/>
      <c r="DH7" s="1625"/>
      <c r="DI7" s="1625"/>
      <c r="DJ7" s="1625"/>
      <c r="DK7" s="1625"/>
      <c r="DL7" s="1625"/>
      <c r="DM7" s="1625"/>
      <c r="DN7" s="1625"/>
      <c r="DO7" s="1625"/>
      <c r="DP7" s="1625"/>
      <c r="DQ7" s="1625"/>
      <c r="DR7" s="1625"/>
      <c r="DS7" s="1625"/>
      <c r="DT7" s="1625"/>
      <c r="DU7" s="1625"/>
      <c r="DV7" s="1625"/>
      <c r="DW7" s="1625"/>
      <c r="DX7" s="1625"/>
      <c r="DY7" s="1625"/>
      <c r="DZ7" s="1625"/>
      <c r="EA7" s="1625"/>
      <c r="EB7" s="1625"/>
      <c r="EC7" s="1625"/>
      <c r="ED7" s="1625"/>
      <c r="EE7" s="1625"/>
      <c r="EF7" s="1625"/>
      <c r="EG7" s="1625"/>
      <c r="EH7" s="1625"/>
      <c r="EI7" s="1625"/>
      <c r="EJ7" s="1625"/>
      <c r="EK7" s="1625"/>
      <c r="EL7" s="1625"/>
      <c r="EM7" s="1625"/>
      <c r="EN7" s="1625"/>
      <c r="EO7" s="1625"/>
      <c r="EP7" s="1625"/>
      <c r="EQ7" s="1625"/>
      <c r="ER7" s="1625"/>
      <c r="ES7" s="1625"/>
      <c r="ET7" s="1625"/>
      <c r="EU7" s="1625"/>
      <c r="EV7" s="1625"/>
      <c r="EW7" s="1625"/>
      <c r="EX7" s="1625"/>
      <c r="EY7" s="1625"/>
      <c r="EZ7" s="1625"/>
      <c r="FA7" s="1625"/>
      <c r="FB7" s="1625"/>
      <c r="FC7" s="1625"/>
      <c r="FD7" s="1625"/>
      <c r="FE7" s="1625"/>
      <c r="FF7" s="1625"/>
      <c r="FG7" s="1625"/>
      <c r="FH7" s="1625"/>
      <c r="FI7" s="1625"/>
      <c r="FJ7" s="1625"/>
      <c r="FK7" s="1625"/>
      <c r="FL7" s="1625"/>
      <c r="FM7" s="1625"/>
      <c r="FN7" s="1625"/>
      <c r="FO7" s="1625"/>
      <c r="FP7" s="1625"/>
      <c r="FQ7" s="1625"/>
      <c r="FR7" s="1625"/>
      <c r="FS7" s="1625"/>
      <c r="FT7" s="1625"/>
      <c r="FU7" s="1625"/>
      <c r="FV7" s="1625"/>
      <c r="FW7" s="1625"/>
      <c r="GC7" s="1623">
        <v>10</v>
      </c>
    </row>
    <row s="62057" customFormat="1" customHeight="1" ht="11.25" hidden="1">
      <c r="B8" s="1626"/>
      <c r="F8" s="1748"/>
      <c r="G8" s="1455"/>
      <c r="H8" s="1052"/>
      <c r="I8" s="1052"/>
      <c r="J8" s="1052"/>
      <c r="K8" s="1052"/>
      <c r="L8" s="1052"/>
      <c r="M8" s="1748"/>
      <c r="N8" s="1748"/>
      <c r="O8" s="3142" t="s">
        <v>1145</v>
      </c>
      <c r="P8" s="3143"/>
      <c r="Q8" s="3143"/>
      <c r="R8" s="3143"/>
      <c r="S8" s="3143"/>
      <c r="T8" s="3143"/>
      <c r="U8" s="3143"/>
      <c r="V8" s="3143"/>
      <c r="W8" s="3143"/>
      <c r="X8" s="3143"/>
      <c r="Y8" s="3143"/>
      <c r="Z8" s="3143"/>
      <c r="AA8" s="3143"/>
      <c r="AB8" s="3143"/>
      <c r="AC8" s="3143"/>
      <c r="AD8" s="3143"/>
      <c r="AE8" s="3143"/>
      <c r="AF8" s="3143"/>
      <c r="AG8" s="3143"/>
      <c r="AH8" s="3143"/>
      <c r="AI8" s="3143"/>
      <c r="AJ8" s="3143"/>
      <c r="AK8" s="3143"/>
      <c r="AL8" s="3143"/>
      <c r="AM8" s="3143"/>
      <c r="AN8" s="3143"/>
      <c r="AO8" s="3143"/>
      <c r="AP8" s="3143"/>
      <c r="AQ8" s="3143"/>
      <c r="AR8" s="3143"/>
      <c r="AS8" s="3143"/>
      <c r="AT8" s="3143"/>
      <c r="AU8" s="3143"/>
      <c r="AV8" s="3143"/>
      <c r="AW8" s="3143"/>
      <c r="AX8" s="3143"/>
      <c r="AY8" s="3143"/>
      <c r="AZ8" s="3143"/>
      <c r="BA8" s="3143"/>
      <c r="BB8" s="3143"/>
      <c r="BC8" s="3143"/>
      <c r="BD8" s="3143"/>
      <c r="BE8" s="3143"/>
      <c r="BF8" s="3143"/>
      <c r="BG8" s="3143"/>
      <c r="BH8" s="3143"/>
      <c r="BI8" s="3143"/>
      <c r="BJ8" s="3143"/>
      <c r="BK8" s="3143"/>
      <c r="BL8" s="3143"/>
      <c r="BM8" s="3143"/>
      <c r="BN8" s="3143"/>
      <c r="BO8" s="3143"/>
      <c r="BP8" s="3143"/>
      <c r="BQ8" s="3143"/>
      <c r="BR8" s="3143"/>
      <c r="BS8" s="3144"/>
      <c r="BT8" s="3131"/>
      <c r="BU8" s="3132"/>
      <c r="BV8" s="3132"/>
      <c r="BW8" s="3132"/>
      <c r="BX8" s="3132"/>
      <c r="BY8" s="3132"/>
      <c r="BZ8" s="3132"/>
      <c r="CA8" s="3132"/>
      <c r="CB8" s="3132"/>
      <c r="CC8" s="3132"/>
      <c r="CD8" s="3132"/>
      <c r="CE8" s="3132"/>
      <c r="CF8" s="3132"/>
      <c r="CG8" s="3132"/>
      <c r="CH8" s="3132"/>
      <c r="CI8" s="3132"/>
      <c r="CJ8" s="3132"/>
      <c r="CK8" s="3132"/>
      <c r="CL8" s="3132"/>
      <c r="CM8" s="3132"/>
      <c r="CN8" s="3132"/>
      <c r="CO8" s="3132"/>
      <c r="CP8" s="3132"/>
      <c r="CQ8" s="3132"/>
      <c r="CR8" s="3132"/>
      <c r="CS8" s="3132"/>
      <c r="CT8" s="3132"/>
      <c r="CU8" s="3132"/>
      <c r="CV8" s="3132"/>
      <c r="CW8" s="3132"/>
      <c r="CX8" s="3133"/>
      <c r="CY8" s="3134"/>
      <c r="CZ8" s="3135"/>
      <c r="DA8" s="3135"/>
      <c r="DB8" s="3135"/>
      <c r="DC8" s="3135"/>
      <c r="DD8" s="3135"/>
      <c r="DE8" s="3135"/>
      <c r="DF8" s="3135"/>
      <c r="DG8" s="3135"/>
      <c r="DH8" s="3135"/>
      <c r="DI8" s="3135"/>
      <c r="DJ8" s="3135"/>
      <c r="DK8" s="3135"/>
      <c r="DL8" s="3135"/>
      <c r="DM8" s="3135"/>
      <c r="DN8" s="3135"/>
      <c r="DO8" s="3135"/>
      <c r="DP8" s="3135"/>
      <c r="DQ8" s="3135"/>
      <c r="DR8" s="3135"/>
      <c r="DS8" s="3135"/>
      <c r="DT8" s="3135"/>
      <c r="DU8" s="3135"/>
      <c r="DV8" s="3135"/>
      <c r="DW8" s="3135"/>
      <c r="DX8" s="3136"/>
      <c r="DY8" s="3137" t="s">
        <v>1146</v>
      </c>
      <c r="DZ8" s="3138"/>
      <c r="EA8" s="3138"/>
      <c r="EB8" s="3138"/>
      <c r="EC8" s="3138"/>
      <c r="ED8" s="3138"/>
      <c r="EE8" s="3138"/>
      <c r="EF8" s="3138"/>
      <c r="EG8" s="3138"/>
      <c r="EH8" s="3138"/>
      <c r="EI8" s="3138"/>
      <c r="EJ8" s="3138"/>
      <c r="EK8" s="3138"/>
      <c r="EL8" s="3138"/>
      <c r="EM8" s="3138"/>
      <c r="EN8" s="3138"/>
      <c r="EO8" s="3138"/>
      <c r="EP8" s="3138"/>
      <c r="EQ8" s="3138"/>
      <c r="ER8" s="3138"/>
      <c r="ES8" s="3138"/>
      <c r="ET8" s="3138"/>
      <c r="EU8" s="3138"/>
      <c r="EV8" s="3138"/>
      <c r="EW8" s="3138"/>
      <c r="EX8" s="3138"/>
      <c r="EY8" s="3138"/>
      <c r="EZ8" s="3138"/>
      <c r="FA8" s="3138"/>
      <c r="FB8" s="3138"/>
      <c r="FC8" s="3138"/>
      <c r="FD8" s="3138"/>
      <c r="FE8" s="3138"/>
      <c r="FF8" s="3138"/>
      <c r="FG8" s="3138"/>
      <c r="FH8" s="3138"/>
      <c r="FI8" s="3138"/>
      <c r="FJ8" s="3138"/>
      <c r="FK8" s="3138"/>
      <c r="FL8" s="3138"/>
      <c r="FM8" s="3138"/>
      <c r="FN8" s="3138"/>
      <c r="FO8" s="3138"/>
      <c r="FP8" s="3138"/>
      <c r="FQ8" s="3138"/>
      <c r="FR8" s="3138"/>
      <c r="FS8" s="3138"/>
      <c r="FT8" s="3138"/>
      <c r="FU8" s="3138"/>
      <c r="FV8" s="3138"/>
      <c r="FW8" s="3139"/>
      <c r="FX8" s="1748"/>
      <c r="GC8" s="1625">
        <v>0</v>
      </c>
    </row>
    <row s="62057" customFormat="1" customHeight="1" ht="11.25" hidden="1">
      <c r="B9" s="1626"/>
      <c r="F9" s="1748"/>
      <c r="G9" s="1455"/>
      <c r="H9" s="1052"/>
      <c r="I9" s="1052"/>
      <c r="J9" s="1052"/>
      <c r="K9" s="1052"/>
      <c r="L9" s="1052"/>
      <c r="M9" s="1748"/>
      <c r="N9" s="1748"/>
      <c r="O9" s="1748"/>
      <c r="P9" s="1748"/>
      <c r="Q9" s="1748"/>
      <c r="R9" s="1748"/>
      <c r="S9" s="1748"/>
      <c r="T9" s="1748"/>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c r="AT9" s="1748"/>
      <c r="AU9" s="1748"/>
      <c r="AV9" s="1748"/>
      <c r="AW9" s="1748"/>
      <c r="AX9" s="1748"/>
      <c r="AY9" s="1748"/>
      <c r="AZ9" s="1748"/>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c r="CF9" s="1748"/>
      <c r="CG9" s="1748"/>
      <c r="CH9" s="1748"/>
      <c r="CI9" s="1748"/>
      <c r="CJ9" s="1748"/>
      <c r="CK9" s="1748"/>
      <c r="CL9" s="1748"/>
      <c r="CM9" s="1748"/>
      <c r="CN9" s="1748"/>
      <c r="CO9" s="1748"/>
      <c r="CP9" s="1748"/>
      <c r="CQ9" s="1748"/>
      <c r="CR9" s="1748"/>
      <c r="CS9" s="1748"/>
      <c r="CT9" s="1748"/>
      <c r="CU9" s="1748"/>
      <c r="CV9" s="1748"/>
      <c r="CW9" s="1748"/>
      <c r="CX9" s="1748"/>
      <c r="CY9" s="1748"/>
      <c r="CZ9" s="1748"/>
      <c r="DA9" s="1748"/>
      <c r="DB9" s="1748"/>
      <c r="DC9" s="1748"/>
      <c r="DD9" s="1748"/>
      <c r="DE9" s="1748"/>
      <c r="DF9" s="1748"/>
      <c r="DG9" s="1748"/>
      <c r="DH9" s="1748"/>
      <c r="DI9" s="1748"/>
      <c r="DJ9" s="1748"/>
      <c r="DK9" s="1748"/>
      <c r="DL9" s="1748"/>
      <c r="DM9" s="1748"/>
      <c r="DN9" s="1748"/>
      <c r="DO9" s="1748"/>
      <c r="DP9" s="1748"/>
      <c r="DQ9" s="1748"/>
      <c r="DR9" s="1748"/>
      <c r="DS9" s="1748"/>
      <c r="DT9" s="1748"/>
      <c r="DU9" s="1748"/>
      <c r="DV9" s="1748"/>
      <c r="DW9" s="1748"/>
      <c r="DX9" s="1748"/>
      <c r="DY9" s="1748"/>
      <c r="DZ9" s="1748"/>
      <c r="EA9" s="1748"/>
      <c r="EB9" s="1748"/>
      <c r="EC9" s="1748"/>
      <c r="ED9" s="1748"/>
      <c r="EE9" s="1748"/>
      <c r="EF9" s="1748"/>
      <c r="EG9" s="1748"/>
      <c r="EH9" s="1748"/>
      <c r="EI9" s="1748"/>
      <c r="EJ9" s="1748"/>
      <c r="EK9" s="1748"/>
      <c r="EL9" s="1748"/>
      <c r="EM9" s="1748"/>
      <c r="EN9" s="1748"/>
      <c r="EO9" s="1748"/>
      <c r="EP9" s="1748"/>
      <c r="EQ9" s="1748"/>
      <c r="ER9" s="1748"/>
      <c r="ES9" s="1748"/>
      <c r="ET9" s="1748"/>
      <c r="EU9" s="1748"/>
      <c r="EV9" s="1748"/>
      <c r="EW9" s="1748"/>
      <c r="EX9" s="1748"/>
      <c r="EY9" s="1748"/>
      <c r="EZ9" s="1748"/>
      <c r="FA9" s="1748"/>
      <c r="FB9" s="1748"/>
      <c r="FC9" s="1748"/>
      <c r="FD9" s="1748"/>
      <c r="FE9" s="1748"/>
      <c r="FF9" s="1748"/>
      <c r="FG9" s="1748"/>
      <c r="FH9" s="1748"/>
      <c r="FI9" s="1748"/>
      <c r="FJ9" s="1748"/>
      <c r="FK9" s="1748"/>
      <c r="FL9" s="1748"/>
      <c r="FM9" s="1748"/>
      <c r="FN9" s="1748"/>
      <c r="FO9" s="1748"/>
      <c r="FP9" s="1748"/>
      <c r="FQ9" s="1748"/>
      <c r="FR9" s="1748"/>
      <c r="FS9" s="1748"/>
      <c r="FT9" s="1748"/>
      <c r="FU9" s="1748"/>
      <c r="FV9" s="1748"/>
      <c r="FW9" s="3140"/>
      <c r="FX9" s="1748"/>
      <c r="GC9" s="1625">
        <v>0</v>
      </c>
    </row>
    <row s="62057" customFormat="1" customHeight="1" ht="11.549999999999999">
      <c r="B10" s="1626"/>
      <c r="F10" s="3121" t="s">
        <v>375</v>
      </c>
      <c r="G10" s="3122"/>
      <c r="H10" s="3122"/>
      <c r="I10" s="3122"/>
      <c r="J10" s="3122"/>
      <c r="K10" s="3122"/>
      <c r="L10" s="3122"/>
      <c r="M10" s="3122"/>
      <c r="N10" s="3122"/>
      <c r="O10" s="3122"/>
      <c r="P10" s="3122"/>
      <c r="Q10" s="3122"/>
      <c r="R10" s="3122"/>
      <c r="S10" s="3122"/>
      <c r="T10" s="3122"/>
      <c r="U10" s="3122"/>
      <c r="V10" s="3122"/>
      <c r="W10" s="3122"/>
      <c r="X10" s="3122"/>
      <c r="Y10" s="3122"/>
      <c r="Z10" s="3122"/>
      <c r="AA10" s="3122"/>
      <c r="AB10" s="3122"/>
      <c r="AC10" s="3122"/>
      <c r="AD10" s="3122"/>
      <c r="AE10" s="3122"/>
      <c r="AF10" s="3122"/>
      <c r="AG10" s="3122"/>
      <c r="AH10" s="3122"/>
      <c r="AI10" s="3122"/>
      <c r="AJ10" s="3122"/>
      <c r="AK10" s="3122"/>
      <c r="AL10" s="3122"/>
      <c r="AM10" s="3122"/>
      <c r="AN10" s="3122"/>
      <c r="AO10" s="3122"/>
      <c r="AP10" s="3122"/>
      <c r="AQ10" s="3122"/>
      <c r="AR10" s="3122"/>
      <c r="AS10" s="3122"/>
      <c r="AT10" s="3122"/>
      <c r="AU10" s="3122"/>
      <c r="AV10" s="3122"/>
      <c r="AW10" s="3122"/>
      <c r="AX10" s="3122"/>
      <c r="AY10" s="3122"/>
      <c r="AZ10" s="3122"/>
      <c r="BA10" s="3122"/>
      <c r="BB10" s="3122"/>
      <c r="BC10" s="3122"/>
      <c r="BD10" s="3122"/>
      <c r="BE10" s="3122"/>
      <c r="BF10" s="3122"/>
      <c r="BG10" s="3122"/>
      <c r="BH10" s="3122"/>
      <c r="BI10" s="3122"/>
      <c r="BJ10" s="3122"/>
      <c r="BK10" s="3122"/>
      <c r="BL10" s="3122"/>
      <c r="BM10" s="3122"/>
      <c r="BN10" s="3122"/>
      <c r="BO10" s="3122"/>
      <c r="BP10" s="3122"/>
      <c r="BQ10" s="3122"/>
      <c r="BR10" s="3122"/>
      <c r="BS10" s="3122"/>
      <c r="BT10" s="3122"/>
      <c r="BU10" s="3122"/>
      <c r="BV10" s="3122"/>
      <c r="BW10" s="3122"/>
      <c r="BX10" s="3122"/>
      <c r="BY10" s="3122"/>
      <c r="BZ10" s="3122"/>
      <c r="CA10" s="3122"/>
      <c r="CB10" s="3122"/>
      <c r="CC10" s="3122"/>
      <c r="CD10" s="3122"/>
      <c r="CE10" s="3122"/>
      <c r="CF10" s="3122"/>
      <c r="CG10" s="3122"/>
      <c r="CH10" s="3122"/>
      <c r="CI10" s="3122"/>
      <c r="CJ10" s="3122"/>
      <c r="CK10" s="3122"/>
      <c r="CL10" s="3122"/>
      <c r="CM10" s="3122"/>
      <c r="CN10" s="3122"/>
      <c r="CO10" s="3122"/>
      <c r="CP10" s="3122"/>
      <c r="CQ10" s="3122"/>
      <c r="CR10" s="3122"/>
      <c r="CS10" s="3122"/>
      <c r="CT10" s="3122"/>
      <c r="CU10" s="3122"/>
      <c r="CV10" s="3122"/>
      <c r="CW10" s="3122"/>
      <c r="CX10" s="3122"/>
      <c r="CY10" s="3122"/>
      <c r="CZ10" s="3122"/>
      <c r="DA10" s="3122"/>
      <c r="DB10" s="3122"/>
      <c r="DC10" s="3122"/>
      <c r="DD10" s="3122"/>
      <c r="DE10" s="3122"/>
      <c r="DF10" s="3122"/>
      <c r="DG10" s="3122"/>
      <c r="DH10" s="3122"/>
      <c r="DI10" s="3122"/>
      <c r="DJ10" s="3122"/>
      <c r="DK10" s="3122"/>
      <c r="DL10" s="3122"/>
      <c r="DM10" s="3122"/>
      <c r="DN10" s="3122"/>
      <c r="DO10" s="3122"/>
      <c r="DP10" s="3122"/>
      <c r="DQ10" s="3122"/>
      <c r="DR10" s="3122"/>
      <c r="DS10" s="3122"/>
      <c r="DT10" s="3122"/>
      <c r="DU10" s="3122"/>
      <c r="DV10" s="3122"/>
      <c r="DW10" s="3122"/>
      <c r="DX10" s="3122"/>
      <c r="DY10" s="3122"/>
      <c r="DZ10" s="3122"/>
      <c r="EA10" s="3122"/>
      <c r="EB10" s="3122"/>
      <c r="EC10" s="3122"/>
      <c r="ED10" s="3122"/>
      <c r="EE10" s="3122"/>
      <c r="EF10" s="3122"/>
      <c r="EG10" s="3122"/>
      <c r="EH10" s="3122"/>
      <c r="EI10" s="3122"/>
      <c r="EJ10" s="3122"/>
      <c r="EK10" s="3122"/>
      <c r="EL10" s="3122"/>
      <c r="EM10" s="3122"/>
      <c r="EN10" s="3122"/>
      <c r="EO10" s="3122"/>
      <c r="EP10" s="3122"/>
      <c r="EQ10" s="3122"/>
      <c r="ER10" s="3122"/>
      <c r="ES10" s="3122"/>
      <c r="ET10" s="3122"/>
      <c r="EU10" s="3122"/>
      <c r="EV10" s="3122"/>
      <c r="EW10" s="3122"/>
      <c r="EX10" s="3122"/>
      <c r="EY10" s="3122"/>
      <c r="EZ10" s="3122"/>
      <c r="FA10" s="3122"/>
      <c r="FB10" s="3122"/>
      <c r="FC10" s="3122"/>
      <c r="FD10" s="3122"/>
      <c r="FE10" s="3122"/>
      <c r="FF10" s="3122"/>
      <c r="FG10" s="3122"/>
      <c r="FH10" s="3122"/>
      <c r="FI10" s="3122"/>
      <c r="FJ10" s="3122"/>
      <c r="FK10" s="3122"/>
      <c r="FL10" s="3122"/>
      <c r="FM10" s="3122"/>
      <c r="FN10" s="3122"/>
      <c r="FO10" s="3122"/>
      <c r="FP10" s="3122"/>
      <c r="FQ10" s="3122"/>
      <c r="FR10" s="3122"/>
      <c r="FS10" s="3122"/>
      <c r="FT10" s="3122"/>
      <c r="FU10" s="3122"/>
      <c r="FV10" s="3123"/>
      <c r="FW10" s="3140"/>
      <c r="FX10" s="1748"/>
      <c r="GC10" s="1625">
        <v>11</v>
      </c>
    </row>
    <row customHeight="1" ht="12.75">
      <c r="E11" s="1629"/>
      <c r="F11" s="2897" t="s">
        <v>89</v>
      </c>
      <c r="G11" s="2897" t="s">
        <v>1147</v>
      </c>
      <c r="H11" s="3129" t="s">
        <v>1148</v>
      </c>
      <c r="I11" s="3129" t="s">
        <v>1149</v>
      </c>
      <c r="J11" s="3130"/>
      <c r="K11" s="3130"/>
      <c r="L11" s="3130"/>
      <c r="M11" s="3130"/>
      <c r="N11" s="3130"/>
      <c r="O11" s="2901" t="s">
        <v>1150</v>
      </c>
      <c r="P11" s="2901"/>
      <c r="Q11" s="2901"/>
      <c r="R11" s="2901"/>
      <c r="S11" s="2901"/>
      <c r="T11" s="2901"/>
      <c r="U11" s="2901"/>
      <c r="V11" s="2901"/>
      <c r="W11" s="2901"/>
      <c r="X11" s="2901"/>
      <c r="Y11" s="2901"/>
      <c r="Z11" s="2901"/>
      <c r="AA11" s="2901"/>
      <c r="AB11" s="2901"/>
      <c r="AC11" s="3126"/>
      <c r="AD11" s="3126"/>
      <c r="AE11" s="3126"/>
      <c r="AF11" s="3126"/>
      <c r="AG11" s="3126"/>
      <c r="AH11" s="3126"/>
      <c r="AI11" s="3126"/>
      <c r="AJ11" s="3126"/>
      <c r="AK11" s="3126"/>
      <c r="AL11" s="3126"/>
      <c r="AM11" s="3126"/>
      <c r="AN11" s="3126"/>
      <c r="AO11" s="3126"/>
      <c r="AP11" s="3126"/>
      <c r="AQ11" s="3126"/>
      <c r="AR11" s="3126"/>
      <c r="AS11" s="3126"/>
      <c r="AT11" s="3126"/>
      <c r="AU11" s="3126"/>
      <c r="AV11" s="3126"/>
      <c r="AW11" s="3126"/>
      <c r="AX11" s="3126"/>
      <c r="AY11" s="3126"/>
      <c r="AZ11" s="3126"/>
      <c r="BA11" s="3126"/>
      <c r="BB11" s="3126"/>
      <c r="BC11" s="3126"/>
      <c r="BD11" s="3126"/>
      <c r="BE11" s="3126"/>
      <c r="BF11" s="3126"/>
      <c r="BG11" s="3126"/>
      <c r="BH11" s="3126"/>
      <c r="BI11" s="3126"/>
      <c r="BJ11" s="3126"/>
      <c r="BK11" s="3126"/>
      <c r="BL11" s="3126"/>
      <c r="BM11" s="3126"/>
      <c r="BN11" s="3126"/>
      <c r="BO11" s="3126"/>
      <c r="BP11" s="3126"/>
      <c r="BQ11" s="3126"/>
      <c r="BR11" s="3126"/>
      <c r="BS11" s="3145"/>
      <c r="BT11" s="3078" t="s">
        <v>1150</v>
      </c>
      <c r="BU11" s="3079"/>
      <c r="BV11" s="3079"/>
      <c r="BW11" s="3079"/>
      <c r="BX11" s="3079"/>
      <c r="BY11" s="3079"/>
      <c r="BZ11" s="3079"/>
      <c r="CA11" s="3079"/>
      <c r="CB11" s="3079"/>
      <c r="CC11" s="3079"/>
      <c r="CD11" s="3079"/>
      <c r="CE11" s="3079"/>
      <c r="CF11" s="3079"/>
      <c r="CG11" s="3079"/>
      <c r="CH11" s="3079"/>
      <c r="CI11" s="3079"/>
      <c r="CJ11" s="3079"/>
      <c r="CK11" s="3125"/>
      <c r="CL11" s="3128"/>
      <c r="CM11" s="3126"/>
      <c r="CN11" s="3126"/>
      <c r="CO11" s="3126"/>
      <c r="CP11" s="3126"/>
      <c r="CQ11" s="3126"/>
      <c r="CR11" s="3126"/>
      <c r="CS11" s="3126"/>
      <c r="CT11" s="3126"/>
      <c r="CU11" s="3126"/>
      <c r="CV11" s="3126"/>
      <c r="CW11" s="3126"/>
      <c r="CX11" s="3145"/>
      <c r="CY11" s="3078" t="s">
        <v>1150</v>
      </c>
      <c r="CZ11" s="3079"/>
      <c r="DA11" s="3079"/>
      <c r="DB11" s="3079"/>
      <c r="DC11" s="3079"/>
      <c r="DD11" s="3079"/>
      <c r="DE11" s="3079"/>
      <c r="DF11" s="3079"/>
      <c r="DG11" s="3079"/>
      <c r="DH11" s="3079"/>
      <c r="DI11" s="3079"/>
      <c r="DJ11" s="3125"/>
      <c r="DK11" s="3128"/>
      <c r="DL11" s="3126"/>
      <c r="DM11" s="3126"/>
      <c r="DN11" s="3126"/>
      <c r="DO11" s="3126"/>
      <c r="DP11" s="3126"/>
      <c r="DQ11" s="3126"/>
      <c r="DR11" s="3126"/>
      <c r="DS11" s="3126"/>
      <c r="DT11" s="3126"/>
      <c r="DU11" s="3126"/>
      <c r="DV11" s="3126"/>
      <c r="DW11" s="3126"/>
      <c r="DX11" s="3126"/>
      <c r="DY11" s="3126"/>
      <c r="DZ11" s="3126"/>
      <c r="EA11" s="3126"/>
      <c r="EB11" s="3126"/>
      <c r="EC11" s="3126"/>
      <c r="ED11" s="3126"/>
      <c r="EE11" s="3126"/>
      <c r="EF11" s="3126"/>
      <c r="EG11" s="3126"/>
      <c r="EH11" s="3126"/>
      <c r="EI11" s="3126"/>
      <c r="EJ11" s="3126"/>
      <c r="EK11" s="3126"/>
      <c r="EL11" s="3126"/>
      <c r="EM11" s="3126"/>
      <c r="EN11" s="3126"/>
      <c r="EO11" s="3126"/>
      <c r="EP11" s="3126"/>
      <c r="EQ11" s="3126"/>
      <c r="ER11" s="3126"/>
      <c r="ES11" s="3126"/>
      <c r="ET11" s="3126"/>
      <c r="EU11" s="3126"/>
      <c r="EV11" s="3126"/>
      <c r="EW11" s="3126"/>
      <c r="EX11" s="3126"/>
      <c r="EY11" s="3126"/>
      <c r="EZ11" s="3126"/>
      <c r="FA11" s="3126"/>
      <c r="FB11" s="3126"/>
      <c r="FC11" s="3126"/>
      <c r="FD11" s="3126"/>
      <c r="FE11" s="3126"/>
      <c r="FF11" s="3126"/>
      <c r="FG11" s="3126"/>
      <c r="FH11" s="3126"/>
      <c r="FI11" s="3126"/>
      <c r="FJ11" s="3126"/>
      <c r="FK11" s="3126"/>
      <c r="FL11" s="3126"/>
      <c r="FM11" s="3126"/>
      <c r="FN11" s="3126"/>
      <c r="FO11" s="3126"/>
      <c r="FP11" s="3126"/>
      <c r="FQ11" s="3126"/>
      <c r="FR11" s="3126"/>
      <c r="FS11" s="3126"/>
      <c r="FT11" s="3126"/>
      <c r="FU11" s="3126"/>
      <c r="FV11" s="3126"/>
      <c r="FW11" s="3140"/>
      <c r="FX11" s="1454"/>
      <c r="GC11" s="1618">
        <v>12</v>
      </c>
    </row>
    <row customHeight="1" ht="12.75">
      <c r="D12" s="1630"/>
      <c r="E12" s="1629"/>
      <c r="F12" s="2897"/>
      <c r="G12" s="2897"/>
      <c r="H12" s="3129"/>
      <c r="I12" s="3129"/>
      <c r="J12" s="3130"/>
      <c r="K12" s="3130"/>
      <c r="L12" s="3130"/>
      <c r="M12" s="3130"/>
      <c r="N12" s="3130"/>
      <c r="O12" s="2901" t="s">
        <v>1151</v>
      </c>
      <c r="P12" s="2901"/>
      <c r="Q12" s="2901"/>
      <c r="R12" s="2901"/>
      <c r="S12" s="2901" t="s">
        <v>1152</v>
      </c>
      <c r="T12" s="2901"/>
      <c r="U12" s="2901"/>
      <c r="V12" s="2901"/>
      <c r="W12" s="2901"/>
      <c r="X12" s="2901"/>
      <c r="Y12" s="2901"/>
      <c r="Z12" s="2901"/>
      <c r="AA12" s="2901"/>
      <c r="AB12" s="2901"/>
      <c r="AC12" s="3126"/>
      <c r="AD12" s="3126"/>
      <c r="AE12" s="3126"/>
      <c r="AF12" s="3126"/>
      <c r="AG12" s="3126"/>
      <c r="AH12" s="3126"/>
      <c r="AI12" s="3126"/>
      <c r="AJ12" s="3126"/>
      <c r="AK12" s="3126"/>
      <c r="AL12" s="3126"/>
      <c r="AM12" s="3126"/>
      <c r="AN12" s="3126"/>
      <c r="AO12" s="3126"/>
      <c r="AP12" s="3126"/>
      <c r="AQ12" s="3126"/>
      <c r="AR12" s="3126"/>
      <c r="AS12" s="3126"/>
      <c r="AT12" s="3126"/>
      <c r="AU12" s="3126"/>
      <c r="AV12" s="3126"/>
      <c r="AW12" s="3126"/>
      <c r="AX12" s="3126"/>
      <c r="AY12" s="3126"/>
      <c r="AZ12" s="3126"/>
      <c r="BA12" s="3126"/>
      <c r="BB12" s="3126"/>
      <c r="BC12" s="3126"/>
      <c r="BD12" s="3126"/>
      <c r="BE12" s="3126"/>
      <c r="BF12" s="3126"/>
      <c r="BG12" s="3126"/>
      <c r="BH12" s="3126"/>
      <c r="BI12" s="3126"/>
      <c r="BJ12" s="3126"/>
      <c r="BK12" s="3126"/>
      <c r="BL12" s="3126"/>
      <c r="BM12" s="3126"/>
      <c r="BN12" s="3126"/>
      <c r="BO12" s="3126"/>
      <c r="BP12" s="3126"/>
      <c r="BQ12" s="3126"/>
      <c r="BR12" s="3126"/>
      <c r="BS12" s="3145"/>
      <c r="BT12" s="3078" t="s">
        <v>1153</v>
      </c>
      <c r="BU12" s="3079"/>
      <c r="BV12" s="3079"/>
      <c r="BW12" s="3125"/>
      <c r="BX12" s="3078" t="s">
        <v>1154</v>
      </c>
      <c r="BY12" s="3079"/>
      <c r="BZ12" s="3079"/>
      <c r="CA12" s="3125"/>
      <c r="CB12" s="3078" t="s">
        <v>1155</v>
      </c>
      <c r="CC12" s="3125"/>
      <c r="CD12" s="3078" t="s">
        <v>1156</v>
      </c>
      <c r="CE12" s="3079"/>
      <c r="CF12" s="3079"/>
      <c r="CG12" s="3079"/>
      <c r="CH12" s="3079"/>
      <c r="CI12" s="3079"/>
      <c r="CJ12" s="3079"/>
      <c r="CK12" s="3125"/>
      <c r="CL12" s="3128"/>
      <c r="CM12" s="3126"/>
      <c r="CN12" s="3126"/>
      <c r="CO12" s="3126"/>
      <c r="CP12" s="3126"/>
      <c r="CQ12" s="3126"/>
      <c r="CR12" s="3126"/>
      <c r="CS12" s="3126"/>
      <c r="CT12" s="3126"/>
      <c r="CU12" s="3126"/>
      <c r="CV12" s="3126"/>
      <c r="CW12" s="3126"/>
      <c r="CX12" s="3145"/>
      <c r="CY12" s="3078" t="s">
        <v>1157</v>
      </c>
      <c r="CZ12" s="3079"/>
      <c r="DA12" s="3079"/>
      <c r="DB12" s="3079"/>
      <c r="DC12" s="3079"/>
      <c r="DD12" s="3125"/>
      <c r="DE12" s="3078" t="s">
        <v>1158</v>
      </c>
      <c r="DF12" s="3125"/>
      <c r="DG12" s="3078" t="s">
        <v>1156</v>
      </c>
      <c r="DH12" s="3079"/>
      <c r="DI12" s="3079"/>
      <c r="DJ12" s="3125"/>
      <c r="DK12" s="3128"/>
      <c r="DL12" s="3126"/>
      <c r="DM12" s="3126"/>
      <c r="DN12" s="3126"/>
      <c r="DO12" s="3126"/>
      <c r="DP12" s="3126"/>
      <c r="DQ12" s="3126"/>
      <c r="DR12" s="3126"/>
      <c r="DS12" s="3126"/>
      <c r="DT12" s="3126"/>
      <c r="DU12" s="3126"/>
      <c r="DV12" s="3126"/>
      <c r="DW12" s="3126"/>
      <c r="DX12" s="3126"/>
      <c r="DY12" s="3126"/>
      <c r="DZ12" s="3126"/>
      <c r="EA12" s="3126"/>
      <c r="EB12" s="3126"/>
      <c r="EC12" s="3126"/>
      <c r="ED12" s="3126"/>
      <c r="EE12" s="3126"/>
      <c r="EF12" s="3126"/>
      <c r="EG12" s="3126"/>
      <c r="EH12" s="3126"/>
      <c r="EI12" s="3126"/>
      <c r="EJ12" s="3126"/>
      <c r="EK12" s="3126"/>
      <c r="EL12" s="3126"/>
      <c r="EM12" s="3126"/>
      <c r="EN12" s="3126"/>
      <c r="EO12" s="3126"/>
      <c r="EP12" s="3126"/>
      <c r="EQ12" s="3126"/>
      <c r="ER12" s="3126"/>
      <c r="ES12" s="3126"/>
      <c r="ET12" s="3126"/>
      <c r="EU12" s="3126"/>
      <c r="EV12" s="3126"/>
      <c r="EW12" s="3126"/>
      <c r="EX12" s="3126"/>
      <c r="EY12" s="3126"/>
      <c r="EZ12" s="3126"/>
      <c r="FA12" s="3126"/>
      <c r="FB12" s="3126"/>
      <c r="FC12" s="3126"/>
      <c r="FD12" s="3126"/>
      <c r="FE12" s="3126"/>
      <c r="FF12" s="3126"/>
      <c r="FG12" s="3126"/>
      <c r="FH12" s="3126"/>
      <c r="FI12" s="3126"/>
      <c r="FJ12" s="3126"/>
      <c r="FK12" s="3126"/>
      <c r="FL12" s="3126"/>
      <c r="FM12" s="3126"/>
      <c r="FN12" s="3126"/>
      <c r="FO12" s="3126"/>
      <c r="FP12" s="3126"/>
      <c r="FQ12" s="3126"/>
      <c r="FR12" s="3126"/>
      <c r="FS12" s="3126"/>
      <c r="FT12" s="3126"/>
      <c r="FU12" s="3126"/>
      <c r="FV12" s="3126"/>
      <c r="FW12" s="3140"/>
      <c r="FX12" s="1454"/>
      <c r="GC12" s="1618">
        <v>12</v>
      </c>
    </row>
    <row customHeight="1" ht="37.8">
      <c r="D13" s="1630"/>
      <c r="E13" s="1629"/>
      <c r="F13" s="2897"/>
      <c r="G13" s="2897"/>
      <c r="H13" s="3129"/>
      <c r="I13" s="3129"/>
      <c r="J13" s="3130"/>
      <c r="K13" s="3130"/>
      <c r="L13" s="3130"/>
      <c r="M13" s="3130"/>
      <c r="N13" s="3130"/>
      <c r="O13" s="2901" t="s">
        <v>1159</v>
      </c>
      <c r="P13" s="2901"/>
      <c r="Q13" s="2901"/>
      <c r="R13" s="2901"/>
      <c r="S13" s="3028" t="s">
        <v>1160</v>
      </c>
      <c r="T13" s="3080"/>
      <c r="U13" s="2819" t="s">
        <v>1161</v>
      </c>
      <c r="V13" s="2819"/>
      <c r="W13" s="2819"/>
      <c r="X13" s="2819"/>
      <c r="Y13" s="2819" t="s">
        <v>1162</v>
      </c>
      <c r="Z13" s="2819"/>
      <c r="AA13" s="2819"/>
      <c r="AB13" s="2819"/>
      <c r="AC13" s="3126"/>
      <c r="AD13" s="3126"/>
      <c r="AE13" s="3126"/>
      <c r="AF13" s="3126"/>
      <c r="AG13" s="3126"/>
      <c r="AH13" s="3126"/>
      <c r="AI13" s="3126"/>
      <c r="AJ13" s="3126"/>
      <c r="AK13" s="3126"/>
      <c r="AL13" s="3126"/>
      <c r="AM13" s="3126"/>
      <c r="AN13" s="3126"/>
      <c r="AO13" s="3126"/>
      <c r="AP13" s="3126"/>
      <c r="AQ13" s="3126"/>
      <c r="AR13" s="3126"/>
      <c r="AS13" s="3126"/>
      <c r="AT13" s="3126"/>
      <c r="AU13" s="3126"/>
      <c r="AV13" s="3126"/>
      <c r="AW13" s="3126"/>
      <c r="AX13" s="3126"/>
      <c r="AY13" s="3126"/>
      <c r="AZ13" s="3126"/>
      <c r="BA13" s="3126"/>
      <c r="BB13" s="3126"/>
      <c r="BC13" s="3126"/>
      <c r="BD13" s="3126"/>
      <c r="BE13" s="3126"/>
      <c r="BF13" s="3126"/>
      <c r="BG13" s="3126"/>
      <c r="BH13" s="3126"/>
      <c r="BI13" s="3126"/>
      <c r="BJ13" s="3126"/>
      <c r="BK13" s="3126"/>
      <c r="BL13" s="3126"/>
      <c r="BM13" s="3126"/>
      <c r="BN13" s="3126"/>
      <c r="BO13" s="3126"/>
      <c r="BP13" s="3126"/>
      <c r="BQ13" s="3126"/>
      <c r="BR13" s="3126"/>
      <c r="BS13" s="3145"/>
      <c r="BT13" s="3028" t="s">
        <v>1163</v>
      </c>
      <c r="BU13" s="3080"/>
      <c r="BV13" s="3028" t="s">
        <v>1164</v>
      </c>
      <c r="BW13" s="3080"/>
      <c r="BX13" s="3028" t="s">
        <v>1165</v>
      </c>
      <c r="BY13" s="3080"/>
      <c r="BZ13" s="3028" t="s">
        <v>1166</v>
      </c>
      <c r="CA13" s="3080"/>
      <c r="CB13" s="3028" t="s">
        <v>1167</v>
      </c>
      <c r="CC13" s="3080"/>
      <c r="CD13" s="3028" t="s">
        <v>1168</v>
      </c>
      <c r="CE13" s="3080"/>
      <c r="CF13" s="3028" t="s">
        <v>1169</v>
      </c>
      <c r="CG13" s="3080"/>
      <c r="CH13" s="3078" t="s">
        <v>1170</v>
      </c>
      <c r="CI13" s="3079"/>
      <c r="CJ13" s="3079"/>
      <c r="CK13" s="3125"/>
      <c r="CL13" s="3128"/>
      <c r="CM13" s="3126"/>
      <c r="CN13" s="3126"/>
      <c r="CO13" s="3126"/>
      <c r="CP13" s="3126"/>
      <c r="CQ13" s="3126"/>
      <c r="CR13" s="3126"/>
      <c r="CS13" s="3126"/>
      <c r="CT13" s="3126"/>
      <c r="CU13" s="3126"/>
      <c r="CV13" s="3126"/>
      <c r="CW13" s="3126"/>
      <c r="CX13" s="3145"/>
      <c r="CY13" s="3028" t="s">
        <v>1171</v>
      </c>
      <c r="CZ13" s="3080"/>
      <c r="DA13" s="3028" t="s">
        <v>1172</v>
      </c>
      <c r="DB13" s="3080"/>
      <c r="DC13" s="3028" t="s">
        <v>1173</v>
      </c>
      <c r="DD13" s="3080"/>
      <c r="DE13" s="3028" t="s">
        <v>1174</v>
      </c>
      <c r="DF13" s="3080"/>
      <c r="DG13" s="3078" t="s">
        <v>1175</v>
      </c>
      <c r="DH13" s="3079"/>
      <c r="DI13" s="3079"/>
      <c r="DJ13" s="3125"/>
      <c r="DK13" s="3128"/>
      <c r="DL13" s="3126"/>
      <c r="DM13" s="3126"/>
      <c r="DN13" s="3126"/>
      <c r="DO13" s="3126"/>
      <c r="DP13" s="3126"/>
      <c r="DQ13" s="3126"/>
      <c r="DR13" s="3126"/>
      <c r="DS13" s="3126"/>
      <c r="DT13" s="3126"/>
      <c r="DU13" s="3126"/>
      <c r="DV13" s="3126"/>
      <c r="DW13" s="3126"/>
      <c r="DX13" s="3126"/>
      <c r="DY13" s="3126"/>
      <c r="DZ13" s="3126"/>
      <c r="EA13" s="3126"/>
      <c r="EB13" s="3126"/>
      <c r="EC13" s="3126"/>
      <c r="ED13" s="3126"/>
      <c r="EE13" s="3126"/>
      <c r="EF13" s="3126"/>
      <c r="EG13" s="3126"/>
      <c r="EH13" s="3126"/>
      <c r="EI13" s="3126"/>
      <c r="EJ13" s="3126"/>
      <c r="EK13" s="3126"/>
      <c r="EL13" s="3126"/>
      <c r="EM13" s="3126"/>
      <c r="EN13" s="3126"/>
      <c r="EO13" s="3126"/>
      <c r="EP13" s="3126"/>
      <c r="EQ13" s="3126"/>
      <c r="ER13" s="3126"/>
      <c r="ES13" s="3126"/>
      <c r="ET13" s="3126"/>
      <c r="EU13" s="3126"/>
      <c r="EV13" s="3126"/>
      <c r="EW13" s="3126"/>
      <c r="EX13" s="3126"/>
      <c r="EY13" s="3126"/>
      <c r="EZ13" s="3126"/>
      <c r="FA13" s="3126"/>
      <c r="FB13" s="3126"/>
      <c r="FC13" s="3126"/>
      <c r="FD13" s="3126"/>
      <c r="FE13" s="3126"/>
      <c r="FF13" s="3126"/>
      <c r="FG13" s="3126"/>
      <c r="FH13" s="3126"/>
      <c r="FI13" s="3126"/>
      <c r="FJ13" s="3126"/>
      <c r="FK13" s="3126"/>
      <c r="FL13" s="3126"/>
      <c r="FM13" s="3126"/>
      <c r="FN13" s="3126"/>
      <c r="FO13" s="3126"/>
      <c r="FP13" s="3126"/>
      <c r="FQ13" s="3126"/>
      <c r="FR13" s="3126"/>
      <c r="FS13" s="3126"/>
      <c r="FT13" s="3126"/>
      <c r="FU13" s="3126"/>
      <c r="FV13" s="3126"/>
      <c r="FW13" s="3140"/>
      <c r="FX13" s="1454"/>
      <c r="GC13" s="1618">
        <v>36</v>
      </c>
    </row>
    <row customHeight="1" ht="37.8">
      <c r="D14" s="1630"/>
      <c r="E14" s="1629"/>
      <c r="F14" s="2897"/>
      <c r="G14" s="2897"/>
      <c r="H14" s="3129"/>
      <c r="I14" s="3129"/>
      <c r="J14" s="3130"/>
      <c r="K14" s="3130"/>
      <c r="L14" s="3130"/>
      <c r="M14" s="3130"/>
      <c r="N14" s="3130"/>
      <c r="O14" s="3028" t="s">
        <v>1176</v>
      </c>
      <c r="P14" s="3080"/>
      <c r="Q14" s="3028" t="s">
        <v>1177</v>
      </c>
      <c r="R14" s="3080"/>
      <c r="S14" s="3029"/>
      <c r="T14" s="2905"/>
      <c r="U14" s="3028" t="s">
        <v>909</v>
      </c>
      <c r="V14" s="3080"/>
      <c r="W14" s="3028" t="s">
        <v>912</v>
      </c>
      <c r="X14" s="3080"/>
      <c r="Y14" s="3028" t="s">
        <v>909</v>
      </c>
      <c r="Z14" s="3080"/>
      <c r="AA14" s="3028" t="s">
        <v>919</v>
      </c>
      <c r="AB14" s="3080"/>
      <c r="AC14" s="3126"/>
      <c r="AD14" s="3126"/>
      <c r="AE14" s="3126"/>
      <c r="AF14" s="3126"/>
      <c r="AG14" s="3126"/>
      <c r="AH14" s="3126"/>
      <c r="AI14" s="3126"/>
      <c r="AJ14" s="3126"/>
      <c r="AK14" s="3126"/>
      <c r="AL14" s="3126"/>
      <c r="AM14" s="3126"/>
      <c r="AN14" s="3126"/>
      <c r="AO14" s="3126"/>
      <c r="AP14" s="3126"/>
      <c r="AQ14" s="3126"/>
      <c r="AR14" s="3126"/>
      <c r="AS14" s="3126"/>
      <c r="AT14" s="3126"/>
      <c r="AU14" s="3126"/>
      <c r="AV14" s="3126"/>
      <c r="AW14" s="3126"/>
      <c r="AX14" s="3126"/>
      <c r="AY14" s="3126"/>
      <c r="AZ14" s="3126"/>
      <c r="BA14" s="3126"/>
      <c r="BB14" s="3126"/>
      <c r="BC14" s="3126"/>
      <c r="BD14" s="3126"/>
      <c r="BE14" s="3126"/>
      <c r="BF14" s="3126"/>
      <c r="BG14" s="3126"/>
      <c r="BH14" s="3126"/>
      <c r="BI14" s="3126"/>
      <c r="BJ14" s="3126"/>
      <c r="BK14" s="3126"/>
      <c r="BL14" s="3126"/>
      <c r="BM14" s="3126"/>
      <c r="BN14" s="3126"/>
      <c r="BO14" s="3126"/>
      <c r="BP14" s="3126"/>
      <c r="BQ14" s="3126"/>
      <c r="BR14" s="3126"/>
      <c r="BS14" s="3145"/>
      <c r="BT14" s="3029"/>
      <c r="BU14" s="2905"/>
      <c r="BV14" s="3029"/>
      <c r="BW14" s="2905"/>
      <c r="BX14" s="3029"/>
      <c r="BY14" s="2905"/>
      <c r="BZ14" s="3029"/>
      <c r="CA14" s="2905"/>
      <c r="CB14" s="3029"/>
      <c r="CC14" s="2905"/>
      <c r="CD14" s="3029"/>
      <c r="CE14" s="2905"/>
      <c r="CF14" s="3029"/>
      <c r="CG14" s="2905"/>
      <c r="CH14" s="3028" t="s">
        <v>1178</v>
      </c>
      <c r="CI14" s="3080"/>
      <c r="CJ14" s="3028" t="s">
        <v>1179</v>
      </c>
      <c r="CK14" s="3080"/>
      <c r="CL14" s="3128"/>
      <c r="CM14" s="3126"/>
      <c r="CN14" s="3126"/>
      <c r="CO14" s="3126"/>
      <c r="CP14" s="3126"/>
      <c r="CQ14" s="3126"/>
      <c r="CR14" s="3126"/>
      <c r="CS14" s="3126"/>
      <c r="CT14" s="3126"/>
      <c r="CU14" s="3126"/>
      <c r="CV14" s="3126"/>
      <c r="CW14" s="3126"/>
      <c r="CX14" s="3145"/>
      <c r="CY14" s="3029"/>
      <c r="CZ14" s="2905"/>
      <c r="DA14" s="3029"/>
      <c r="DB14" s="2905"/>
      <c r="DC14" s="3029"/>
      <c r="DD14" s="2905"/>
      <c r="DE14" s="3029"/>
      <c r="DF14" s="2905"/>
      <c r="DG14" s="3028" t="s">
        <v>1180</v>
      </c>
      <c r="DH14" s="3080"/>
      <c r="DI14" s="3028" t="s">
        <v>1181</v>
      </c>
      <c r="DJ14" s="3080"/>
      <c r="DK14" s="3128"/>
      <c r="DL14" s="3126"/>
      <c r="DM14" s="3126"/>
      <c r="DN14" s="3126"/>
      <c r="DO14" s="3126"/>
      <c r="DP14" s="3126"/>
      <c r="DQ14" s="3126"/>
      <c r="DR14" s="3126"/>
      <c r="DS14" s="3126"/>
      <c r="DT14" s="3126"/>
      <c r="DU14" s="3126"/>
      <c r="DV14" s="3126"/>
      <c r="DW14" s="3126"/>
      <c r="DX14" s="3126"/>
      <c r="DY14" s="3126"/>
      <c r="DZ14" s="3126"/>
      <c r="EA14" s="3126"/>
      <c r="EB14" s="3126"/>
      <c r="EC14" s="3126"/>
      <c r="ED14" s="3126"/>
      <c r="EE14" s="3126"/>
      <c r="EF14" s="3126"/>
      <c r="EG14" s="3126"/>
      <c r="EH14" s="3126"/>
      <c r="EI14" s="3126"/>
      <c r="EJ14" s="3126"/>
      <c r="EK14" s="3126"/>
      <c r="EL14" s="3126"/>
      <c r="EM14" s="3126"/>
      <c r="EN14" s="3126"/>
      <c r="EO14" s="3126"/>
      <c r="EP14" s="3126"/>
      <c r="EQ14" s="3126"/>
      <c r="ER14" s="3126"/>
      <c r="ES14" s="3126"/>
      <c r="ET14" s="3126"/>
      <c r="EU14" s="3126"/>
      <c r="EV14" s="3126"/>
      <c r="EW14" s="3126"/>
      <c r="EX14" s="3126"/>
      <c r="EY14" s="3126"/>
      <c r="EZ14" s="3126"/>
      <c r="FA14" s="3126"/>
      <c r="FB14" s="3126"/>
      <c r="FC14" s="3126"/>
      <c r="FD14" s="3126"/>
      <c r="FE14" s="3126"/>
      <c r="FF14" s="3126"/>
      <c r="FG14" s="3126"/>
      <c r="FH14" s="3126"/>
      <c r="FI14" s="3126"/>
      <c r="FJ14" s="3126"/>
      <c r="FK14" s="3126"/>
      <c r="FL14" s="3126"/>
      <c r="FM14" s="3126"/>
      <c r="FN14" s="3126"/>
      <c r="FO14" s="3126"/>
      <c r="FP14" s="3126"/>
      <c r="FQ14" s="3126"/>
      <c r="FR14" s="3126"/>
      <c r="FS14" s="3126"/>
      <c r="FT14" s="3126"/>
      <c r="FU14" s="3126"/>
      <c r="FV14" s="3126"/>
      <c r="FW14" s="3140"/>
      <c r="FX14" s="1454"/>
      <c r="GC14" s="1618">
        <v>36</v>
      </c>
    </row>
    <row customHeight="1" ht="37.8">
      <c r="D15" s="1630"/>
      <c r="E15" s="1629"/>
      <c r="F15" s="2897"/>
      <c r="G15" s="2897"/>
      <c r="H15" s="3129"/>
      <c r="I15" s="3129"/>
      <c r="J15" s="3130"/>
      <c r="K15" s="3130"/>
      <c r="L15" s="3130"/>
      <c r="M15" s="3130"/>
      <c r="N15" s="3130"/>
      <c r="O15" s="3030"/>
      <c r="P15" s="3127"/>
      <c r="Q15" s="3030"/>
      <c r="R15" s="3127"/>
      <c r="S15" s="3030"/>
      <c r="T15" s="3127"/>
      <c r="U15" s="3030"/>
      <c r="V15" s="3127"/>
      <c r="W15" s="3030"/>
      <c r="X15" s="3127"/>
      <c r="Y15" s="3030"/>
      <c r="Z15" s="3127"/>
      <c r="AA15" s="3030"/>
      <c r="AB15" s="3127"/>
      <c r="AC15" s="3126"/>
      <c r="AD15" s="3126"/>
      <c r="AE15" s="3126"/>
      <c r="AF15" s="3126"/>
      <c r="AG15" s="3126"/>
      <c r="AH15" s="3126"/>
      <c r="AI15" s="3126"/>
      <c r="AJ15" s="3126"/>
      <c r="AK15" s="3126"/>
      <c r="AL15" s="3126"/>
      <c r="AM15" s="3126"/>
      <c r="AN15" s="3126"/>
      <c r="AO15" s="3126"/>
      <c r="AP15" s="3126"/>
      <c r="AQ15" s="3126"/>
      <c r="AR15" s="3126"/>
      <c r="AS15" s="3126"/>
      <c r="AT15" s="3126"/>
      <c r="AU15" s="3126"/>
      <c r="AV15" s="3126"/>
      <c r="AW15" s="3126"/>
      <c r="AX15" s="3126"/>
      <c r="AY15" s="3126"/>
      <c r="AZ15" s="3126"/>
      <c r="BA15" s="3126"/>
      <c r="BB15" s="3126"/>
      <c r="BC15" s="3126"/>
      <c r="BD15" s="3126"/>
      <c r="BE15" s="3126"/>
      <c r="BF15" s="3126"/>
      <c r="BG15" s="3126"/>
      <c r="BH15" s="3126"/>
      <c r="BI15" s="3126"/>
      <c r="BJ15" s="3126"/>
      <c r="BK15" s="3126"/>
      <c r="BL15" s="3126"/>
      <c r="BM15" s="3126"/>
      <c r="BN15" s="3126"/>
      <c r="BO15" s="3126"/>
      <c r="BP15" s="3126"/>
      <c r="BQ15" s="3126"/>
      <c r="BR15" s="3126"/>
      <c r="BS15" s="3145"/>
      <c r="BT15" s="3030"/>
      <c r="BU15" s="3127"/>
      <c r="BV15" s="3030"/>
      <c r="BW15" s="3127"/>
      <c r="BX15" s="3030"/>
      <c r="BY15" s="3127"/>
      <c r="BZ15" s="3030"/>
      <c r="CA15" s="3127"/>
      <c r="CB15" s="3030"/>
      <c r="CC15" s="3127"/>
      <c r="CD15" s="3030"/>
      <c r="CE15" s="3127"/>
      <c r="CF15" s="3030"/>
      <c r="CG15" s="3127"/>
      <c r="CH15" s="3030"/>
      <c r="CI15" s="3127"/>
      <c r="CJ15" s="3030"/>
      <c r="CK15" s="3127"/>
      <c r="CL15" s="3128"/>
      <c r="CM15" s="3126"/>
      <c r="CN15" s="3126"/>
      <c r="CO15" s="3126"/>
      <c r="CP15" s="3126"/>
      <c r="CQ15" s="3126"/>
      <c r="CR15" s="3126"/>
      <c r="CS15" s="3126"/>
      <c r="CT15" s="3126"/>
      <c r="CU15" s="3126"/>
      <c r="CV15" s="3126"/>
      <c r="CW15" s="3126"/>
      <c r="CX15" s="3145"/>
      <c r="CY15" s="3030"/>
      <c r="CZ15" s="3127"/>
      <c r="DA15" s="3030"/>
      <c r="DB15" s="3127"/>
      <c r="DC15" s="3030"/>
      <c r="DD15" s="3127"/>
      <c r="DE15" s="3030"/>
      <c r="DF15" s="3127"/>
      <c r="DG15" s="3030"/>
      <c r="DH15" s="3127"/>
      <c r="DI15" s="3030"/>
      <c r="DJ15" s="3127"/>
      <c r="DK15" s="3128"/>
      <c r="DL15" s="3126"/>
      <c r="DM15" s="3126"/>
      <c r="DN15" s="3126"/>
      <c r="DO15" s="3126"/>
      <c r="DP15" s="3126"/>
      <c r="DQ15" s="3126"/>
      <c r="DR15" s="3126"/>
      <c r="DS15" s="3126"/>
      <c r="DT15" s="3126"/>
      <c r="DU15" s="3126"/>
      <c r="DV15" s="3126"/>
      <c r="DW15" s="3126"/>
      <c r="DX15" s="3126"/>
      <c r="DY15" s="3126"/>
      <c r="DZ15" s="3126"/>
      <c r="EA15" s="3126"/>
      <c r="EB15" s="3126"/>
      <c r="EC15" s="3126"/>
      <c r="ED15" s="3126"/>
      <c r="EE15" s="3126"/>
      <c r="EF15" s="3126"/>
      <c r="EG15" s="3126"/>
      <c r="EH15" s="3126"/>
      <c r="EI15" s="3126"/>
      <c r="EJ15" s="3126"/>
      <c r="EK15" s="3126"/>
      <c r="EL15" s="3126"/>
      <c r="EM15" s="3126"/>
      <c r="EN15" s="3126"/>
      <c r="EO15" s="3126"/>
      <c r="EP15" s="3126"/>
      <c r="EQ15" s="3126"/>
      <c r="ER15" s="3126"/>
      <c r="ES15" s="3126"/>
      <c r="ET15" s="3126"/>
      <c r="EU15" s="3126"/>
      <c r="EV15" s="3126"/>
      <c r="EW15" s="3126"/>
      <c r="EX15" s="3126"/>
      <c r="EY15" s="3126"/>
      <c r="EZ15" s="3126"/>
      <c r="FA15" s="3126"/>
      <c r="FB15" s="3126"/>
      <c r="FC15" s="3126"/>
      <c r="FD15" s="3126"/>
      <c r="FE15" s="3126"/>
      <c r="FF15" s="3126"/>
      <c r="FG15" s="3126"/>
      <c r="FH15" s="3126"/>
      <c r="FI15" s="3126"/>
      <c r="FJ15" s="3126"/>
      <c r="FK15" s="3126"/>
      <c r="FL15" s="3126"/>
      <c r="FM15" s="3126"/>
      <c r="FN15" s="3126"/>
      <c r="FO15" s="3126"/>
      <c r="FP15" s="3126"/>
      <c r="FQ15" s="3126"/>
      <c r="FR15" s="3126"/>
      <c r="FS15" s="3126"/>
      <c r="FT15" s="3126"/>
      <c r="FU15" s="3126"/>
      <c r="FV15" s="3126"/>
      <c r="FW15" s="3140"/>
      <c r="FX15" s="1454"/>
      <c r="GC15" s="1618">
        <v>36</v>
      </c>
    </row>
    <row customHeight="1" ht="12.75">
      <c r="D16" s="1630"/>
      <c r="E16" s="1629"/>
      <c r="F16" s="2897"/>
      <c r="G16" s="2897"/>
      <c r="H16" s="3129"/>
      <c r="I16" s="3129"/>
      <c r="J16" s="3130"/>
      <c r="K16" s="3130"/>
      <c r="L16" s="3130"/>
      <c r="M16" s="3130"/>
      <c r="N16" s="3130"/>
      <c r="O16" s="3078" t="s">
        <v>899</v>
      </c>
      <c r="P16" s="3125"/>
      <c r="Q16" s="3078" t="s">
        <v>901</v>
      </c>
      <c r="R16" s="3125"/>
      <c r="S16" s="3078" t="s">
        <v>905</v>
      </c>
      <c r="T16" s="3125"/>
      <c r="U16" s="3078" t="s">
        <v>910</v>
      </c>
      <c r="V16" s="3125"/>
      <c r="W16" s="3078" t="s">
        <v>913</v>
      </c>
      <c r="X16" s="3125"/>
      <c r="Y16" s="3078" t="s">
        <v>917</v>
      </c>
      <c r="Z16" s="3125"/>
      <c r="AA16" s="3078" t="s">
        <v>920</v>
      </c>
      <c r="AB16" s="3125"/>
      <c r="AC16" s="3126"/>
      <c r="AD16" s="3126"/>
      <c r="AE16" s="3126"/>
      <c r="AF16" s="3126"/>
      <c r="AG16" s="3126"/>
      <c r="AH16" s="3126"/>
      <c r="AI16" s="3126"/>
      <c r="AJ16" s="3126"/>
      <c r="AK16" s="3126"/>
      <c r="AL16" s="3126"/>
      <c r="AM16" s="3126"/>
      <c r="AN16" s="3126"/>
      <c r="AO16" s="3126"/>
      <c r="AP16" s="3126"/>
      <c r="AQ16" s="3126"/>
      <c r="AR16" s="3126"/>
      <c r="AS16" s="3126"/>
      <c r="AT16" s="3126"/>
      <c r="AU16" s="3126"/>
      <c r="AV16" s="3126"/>
      <c r="AW16" s="3126"/>
      <c r="AX16" s="3126"/>
      <c r="AY16" s="3126"/>
      <c r="AZ16" s="3126"/>
      <c r="BA16" s="3126"/>
      <c r="BB16" s="3126"/>
      <c r="BC16" s="3126"/>
      <c r="BD16" s="3126"/>
      <c r="BE16" s="3126"/>
      <c r="BF16" s="3126"/>
      <c r="BG16" s="3126"/>
      <c r="BH16" s="3126"/>
      <c r="BI16" s="3126"/>
      <c r="BJ16" s="3126"/>
      <c r="BK16" s="3126"/>
      <c r="BL16" s="3126"/>
      <c r="BM16" s="3126"/>
      <c r="BN16" s="3126"/>
      <c r="BO16" s="3126"/>
      <c r="BP16" s="3126"/>
      <c r="BQ16" s="3126"/>
      <c r="BR16" s="3126"/>
      <c r="BS16" s="3145"/>
      <c r="BT16" s="3078" t="s">
        <v>632</v>
      </c>
      <c r="BU16" s="3125"/>
      <c r="BV16" s="3078" t="s">
        <v>632</v>
      </c>
      <c r="BW16" s="3125"/>
      <c r="BX16" s="3078" t="s">
        <v>632</v>
      </c>
      <c r="BY16" s="3125"/>
      <c r="BZ16" s="3078" t="s">
        <v>632</v>
      </c>
      <c r="CA16" s="3125"/>
      <c r="CB16" s="3078" t="s">
        <v>1182</v>
      </c>
      <c r="CC16" s="3125"/>
      <c r="CD16" s="3078" t="s">
        <v>632</v>
      </c>
      <c r="CE16" s="3125"/>
      <c r="CF16" s="3078" t="s">
        <v>1183</v>
      </c>
      <c r="CG16" s="3125"/>
      <c r="CH16" s="3078" t="s">
        <v>1184</v>
      </c>
      <c r="CI16" s="3125"/>
      <c r="CJ16" s="3078" t="s">
        <v>1184</v>
      </c>
      <c r="CK16" s="3125"/>
      <c r="CL16" s="3128"/>
      <c r="CM16" s="3126"/>
      <c r="CN16" s="3126"/>
      <c r="CO16" s="3126"/>
      <c r="CP16" s="3126"/>
      <c r="CQ16" s="3126"/>
      <c r="CR16" s="3126"/>
      <c r="CS16" s="3126"/>
      <c r="CT16" s="3126"/>
      <c r="CU16" s="3126"/>
      <c r="CV16" s="3126"/>
      <c r="CW16" s="3126"/>
      <c r="CX16" s="3145"/>
      <c r="CY16" s="3028" t="s">
        <v>632</v>
      </c>
      <c r="CZ16" s="3080"/>
      <c r="DA16" s="3028" t="s">
        <v>632</v>
      </c>
      <c r="DB16" s="3080"/>
      <c r="DC16" s="3028" t="s">
        <v>632</v>
      </c>
      <c r="DD16" s="3080"/>
      <c r="DE16" s="3078" t="s">
        <v>1182</v>
      </c>
      <c r="DF16" s="3125"/>
      <c r="DG16" s="3078" t="s">
        <v>1185</v>
      </c>
      <c r="DH16" s="3125"/>
      <c r="DI16" s="3078" t="s">
        <v>1185</v>
      </c>
      <c r="DJ16" s="3125"/>
      <c r="DK16" s="3128"/>
      <c r="DL16" s="3126"/>
      <c r="DM16" s="3126"/>
      <c r="DN16" s="3126"/>
      <c r="DO16" s="3126"/>
      <c r="DP16" s="3126"/>
      <c r="DQ16" s="3126"/>
      <c r="DR16" s="3126"/>
      <c r="DS16" s="3126"/>
      <c r="DT16" s="3126"/>
      <c r="DU16" s="3126"/>
      <c r="DV16" s="3126"/>
      <c r="DW16" s="3126"/>
      <c r="DX16" s="3126"/>
      <c r="DY16" s="3126"/>
      <c r="DZ16" s="3126"/>
      <c r="EA16" s="3126"/>
      <c r="EB16" s="3126"/>
      <c r="EC16" s="3126"/>
      <c r="ED16" s="3126"/>
      <c r="EE16" s="3126"/>
      <c r="EF16" s="3126"/>
      <c r="EG16" s="3126"/>
      <c r="EH16" s="3126"/>
      <c r="EI16" s="3126"/>
      <c r="EJ16" s="3126"/>
      <c r="EK16" s="3126"/>
      <c r="EL16" s="3126"/>
      <c r="EM16" s="3126"/>
      <c r="EN16" s="3126"/>
      <c r="EO16" s="3126"/>
      <c r="EP16" s="3126"/>
      <c r="EQ16" s="3126"/>
      <c r="ER16" s="3126"/>
      <c r="ES16" s="3126"/>
      <c r="ET16" s="3126"/>
      <c r="EU16" s="3126"/>
      <c r="EV16" s="3126"/>
      <c r="EW16" s="3126"/>
      <c r="EX16" s="3126"/>
      <c r="EY16" s="3126"/>
      <c r="EZ16" s="3126"/>
      <c r="FA16" s="3126"/>
      <c r="FB16" s="3126"/>
      <c r="FC16" s="3126"/>
      <c r="FD16" s="3126"/>
      <c r="FE16" s="3126"/>
      <c r="FF16" s="3126"/>
      <c r="FG16" s="3126"/>
      <c r="FH16" s="3126"/>
      <c r="FI16" s="3126"/>
      <c r="FJ16" s="3126"/>
      <c r="FK16" s="3126"/>
      <c r="FL16" s="3126"/>
      <c r="FM16" s="3126"/>
      <c r="FN16" s="3126"/>
      <c r="FO16" s="3126"/>
      <c r="FP16" s="3126"/>
      <c r="FQ16" s="3126"/>
      <c r="FR16" s="3126"/>
      <c r="FS16" s="3126"/>
      <c r="FT16" s="3126"/>
      <c r="FU16" s="3126"/>
      <c r="FV16" s="3126"/>
      <c r="FW16" s="3140"/>
      <c r="FX16" s="1454"/>
      <c r="GC16" s="1618">
        <v>12</v>
      </c>
    </row>
    <row customHeight="1" ht="15.75">
      <c r="E17" s="1629"/>
      <c r="F17" s="2897"/>
      <c r="G17" s="2897"/>
      <c r="H17" s="3129"/>
      <c r="I17" s="3129"/>
      <c r="J17" s="3130"/>
      <c r="K17" s="3130"/>
      <c r="L17" s="3130"/>
      <c r="M17" s="3130"/>
      <c r="N17" s="3130"/>
      <c r="O17" s="1883" t="s">
        <v>1186</v>
      </c>
      <c r="P17" s="1883" t="s">
        <v>1187</v>
      </c>
      <c r="Q17" s="1883" t="s">
        <v>1186</v>
      </c>
      <c r="R17" s="1883" t="s">
        <v>1187</v>
      </c>
      <c r="S17" s="1883" t="s">
        <v>1186</v>
      </c>
      <c r="T17" s="1883" t="s">
        <v>1187</v>
      </c>
      <c r="U17" s="1883" t="s">
        <v>1186</v>
      </c>
      <c r="V17" s="1883" t="s">
        <v>1187</v>
      </c>
      <c r="W17" s="1883" t="s">
        <v>1186</v>
      </c>
      <c r="X17" s="1883" t="s">
        <v>1187</v>
      </c>
      <c r="Y17" s="1883" t="s">
        <v>1186</v>
      </c>
      <c r="Z17" s="1883" t="s">
        <v>1187</v>
      </c>
      <c r="AA17" s="1883" t="s">
        <v>1186</v>
      </c>
      <c r="AB17" s="1883" t="s">
        <v>1187</v>
      </c>
      <c r="AC17" s="3126"/>
      <c r="AD17" s="3126"/>
      <c r="AE17" s="3126"/>
      <c r="AF17" s="3126"/>
      <c r="AG17" s="3126"/>
      <c r="AH17" s="3126"/>
      <c r="AI17" s="3126"/>
      <c r="AJ17" s="3126"/>
      <c r="AK17" s="3126"/>
      <c r="AL17" s="3126"/>
      <c r="AM17" s="3126"/>
      <c r="AN17" s="3126"/>
      <c r="AO17" s="3126"/>
      <c r="AP17" s="3126"/>
      <c r="AQ17" s="3126"/>
      <c r="AR17" s="3126"/>
      <c r="AS17" s="3126"/>
      <c r="AT17" s="3126"/>
      <c r="AU17" s="3126"/>
      <c r="AV17" s="3126"/>
      <c r="AW17" s="3126"/>
      <c r="AX17" s="3126"/>
      <c r="AY17" s="3126"/>
      <c r="AZ17" s="3126"/>
      <c r="BA17" s="3126"/>
      <c r="BB17" s="3126"/>
      <c r="BC17" s="3126"/>
      <c r="BD17" s="3126"/>
      <c r="BE17" s="3126"/>
      <c r="BF17" s="3126"/>
      <c r="BG17" s="3126"/>
      <c r="BH17" s="3126"/>
      <c r="BI17" s="3126"/>
      <c r="BJ17" s="3126"/>
      <c r="BK17" s="3126"/>
      <c r="BL17" s="3126"/>
      <c r="BM17" s="3126"/>
      <c r="BN17" s="3126"/>
      <c r="BO17" s="3126"/>
      <c r="BP17" s="3126"/>
      <c r="BQ17" s="3126"/>
      <c r="BR17" s="3126"/>
      <c r="BS17" s="3145"/>
      <c r="BT17" s="1883" t="s">
        <v>1186</v>
      </c>
      <c r="BU17" s="1883" t="s">
        <v>1187</v>
      </c>
      <c r="BV17" s="1883" t="s">
        <v>1186</v>
      </c>
      <c r="BW17" s="1883" t="s">
        <v>1187</v>
      </c>
      <c r="BX17" s="1883" t="s">
        <v>1186</v>
      </c>
      <c r="BY17" s="1883" t="s">
        <v>1187</v>
      </c>
      <c r="BZ17" s="1883" t="s">
        <v>1186</v>
      </c>
      <c r="CA17" s="1883" t="s">
        <v>1187</v>
      </c>
      <c r="CB17" s="1883" t="s">
        <v>1186</v>
      </c>
      <c r="CC17" s="1883" t="s">
        <v>1187</v>
      </c>
      <c r="CD17" s="1883" t="s">
        <v>1186</v>
      </c>
      <c r="CE17" s="1883" t="s">
        <v>1187</v>
      </c>
      <c r="CF17" s="1883" t="s">
        <v>1186</v>
      </c>
      <c r="CG17" s="1883" t="s">
        <v>1187</v>
      </c>
      <c r="CH17" s="1883" t="s">
        <v>1186</v>
      </c>
      <c r="CI17" s="1883" t="s">
        <v>1187</v>
      </c>
      <c r="CJ17" s="1883" t="s">
        <v>1186</v>
      </c>
      <c r="CK17" s="1883" t="s">
        <v>1187</v>
      </c>
      <c r="CL17" s="3128"/>
      <c r="CM17" s="3126"/>
      <c r="CN17" s="3126"/>
      <c r="CO17" s="3126"/>
      <c r="CP17" s="3126"/>
      <c r="CQ17" s="3126"/>
      <c r="CR17" s="3126"/>
      <c r="CS17" s="3126"/>
      <c r="CT17" s="3126"/>
      <c r="CU17" s="3126"/>
      <c r="CV17" s="3126"/>
      <c r="CW17" s="3126"/>
      <c r="CX17" s="3145"/>
      <c r="CY17" s="1883" t="s">
        <v>1186</v>
      </c>
      <c r="CZ17" s="1883" t="s">
        <v>1187</v>
      </c>
      <c r="DA17" s="1883" t="s">
        <v>1186</v>
      </c>
      <c r="DB17" s="1883" t="s">
        <v>1187</v>
      </c>
      <c r="DC17" s="1883" t="s">
        <v>1186</v>
      </c>
      <c r="DD17" s="1883" t="s">
        <v>1187</v>
      </c>
      <c r="DE17" s="1883" t="s">
        <v>1186</v>
      </c>
      <c r="DF17" s="1883" t="s">
        <v>1187</v>
      </c>
      <c r="DG17" s="1883" t="s">
        <v>1186</v>
      </c>
      <c r="DH17" s="1883" t="s">
        <v>1187</v>
      </c>
      <c r="DI17" s="1883" t="s">
        <v>1186</v>
      </c>
      <c r="DJ17" s="1883" t="s">
        <v>1187</v>
      </c>
      <c r="DK17" s="3128"/>
      <c r="DL17" s="3126"/>
      <c r="DM17" s="3126"/>
      <c r="DN17" s="3126"/>
      <c r="DO17" s="3126"/>
      <c r="DP17" s="3126"/>
      <c r="DQ17" s="3126"/>
      <c r="DR17" s="3126"/>
      <c r="DS17" s="3126"/>
      <c r="DT17" s="3126"/>
      <c r="DU17" s="3126"/>
      <c r="DV17" s="3126"/>
      <c r="DW17" s="3126"/>
      <c r="DX17" s="3126"/>
      <c r="DY17" s="3126"/>
      <c r="DZ17" s="3126"/>
      <c r="EA17" s="3126"/>
      <c r="EB17" s="3126"/>
      <c r="EC17" s="3126"/>
      <c r="ED17" s="3126"/>
      <c r="EE17" s="3126"/>
      <c r="EF17" s="3126"/>
      <c r="EG17" s="3126"/>
      <c r="EH17" s="3126"/>
      <c r="EI17" s="3126"/>
      <c r="EJ17" s="3126"/>
      <c r="EK17" s="3126"/>
      <c r="EL17" s="3126"/>
      <c r="EM17" s="3126"/>
      <c r="EN17" s="3126"/>
      <c r="EO17" s="3126"/>
      <c r="EP17" s="3126"/>
      <c r="EQ17" s="3126"/>
      <c r="ER17" s="3126"/>
      <c r="ES17" s="3126"/>
      <c r="ET17" s="3126"/>
      <c r="EU17" s="3126"/>
      <c r="EV17" s="3126"/>
      <c r="EW17" s="3126"/>
      <c r="EX17" s="3126"/>
      <c r="EY17" s="3126"/>
      <c r="EZ17" s="3126"/>
      <c r="FA17" s="3126"/>
      <c r="FB17" s="3126"/>
      <c r="FC17" s="3126"/>
      <c r="FD17" s="3126"/>
      <c r="FE17" s="3126"/>
      <c r="FF17" s="3126"/>
      <c r="FG17" s="3126"/>
      <c r="FH17" s="3126"/>
      <c r="FI17" s="3126"/>
      <c r="FJ17" s="3126"/>
      <c r="FK17" s="3126"/>
      <c r="FL17" s="3126"/>
      <c r="FM17" s="3126"/>
      <c r="FN17" s="3126"/>
      <c r="FO17" s="3126"/>
      <c r="FP17" s="3126"/>
      <c r="FQ17" s="3126"/>
      <c r="FR17" s="3126"/>
      <c r="FS17" s="3126"/>
      <c r="FT17" s="3126"/>
      <c r="FU17" s="3126"/>
      <c r="FV17" s="3126"/>
      <c r="FW17" s="3141"/>
      <c r="FX17" s="1454"/>
      <c r="GC17" s="1618">
        <v>15</v>
      </c>
    </row>
    <row s="62038" customFormat="1" customHeight="1" ht="12" hidden="1">
      <c r="B18" s="1615"/>
      <c r="E18" s="1631"/>
      <c r="F18" s="1884"/>
      <c r="G18" s="1884"/>
      <c r="H18" s="1884"/>
      <c r="I18" s="1884"/>
      <c r="J18" s="1885"/>
      <c r="K18" s="1885"/>
      <c r="L18" s="1885"/>
      <c r="M18" s="1885"/>
      <c r="N18" s="1885"/>
      <c r="O18" s="1884"/>
      <c r="P18" s="1884"/>
      <c r="Q18" s="1884"/>
      <c r="R18" s="1884"/>
      <c r="S18" s="1884"/>
      <c r="T18" s="1884"/>
      <c r="U18" s="1886"/>
      <c r="V18" s="1886"/>
      <c r="W18" s="1886"/>
      <c r="X18" s="1886"/>
      <c r="Y18" s="1886"/>
      <c r="Z18" s="1886"/>
      <c r="AA18" s="1886"/>
      <c r="AB18" s="1884"/>
      <c r="AC18" s="1885"/>
      <c r="AD18" s="1885"/>
      <c r="AE18" s="1885"/>
      <c r="AF18" s="1885"/>
      <c r="AG18" s="1885"/>
      <c r="AH18" s="1885"/>
      <c r="AI18" s="1885"/>
      <c r="AJ18" s="1885"/>
      <c r="AK18" s="1885"/>
      <c r="AL18" s="1885"/>
      <c r="AM18" s="1885"/>
      <c r="AN18" s="1885"/>
      <c r="AO18" s="1885"/>
      <c r="AP18" s="1885"/>
      <c r="AQ18" s="1885"/>
      <c r="AR18" s="1885"/>
      <c r="AS18" s="1885"/>
      <c r="AT18" s="1885"/>
      <c r="AU18" s="1885"/>
      <c r="AV18" s="1885"/>
      <c r="AW18" s="1885"/>
      <c r="AX18" s="1885"/>
      <c r="AY18" s="1885"/>
      <c r="AZ18" s="1885"/>
      <c r="BA18" s="1885"/>
      <c r="BB18" s="1885"/>
      <c r="BC18" s="1885"/>
      <c r="BD18" s="1885"/>
      <c r="BE18" s="1885"/>
      <c r="BF18" s="1885"/>
      <c r="BG18" s="1885"/>
      <c r="BH18" s="1885"/>
      <c r="BI18" s="1885"/>
      <c r="BJ18" s="1885"/>
      <c r="BK18" s="1885"/>
      <c r="BL18" s="1885"/>
      <c r="BM18" s="1885"/>
      <c r="BN18" s="1885"/>
      <c r="BO18" s="1885"/>
      <c r="BP18" s="1885"/>
      <c r="BQ18" s="1885"/>
      <c r="BR18" s="1885"/>
      <c r="BS18" s="1885"/>
      <c r="BT18" s="1887"/>
      <c r="BU18" s="1887"/>
      <c r="BV18" s="1887"/>
      <c r="BW18" s="1887"/>
      <c r="BX18" s="1887"/>
      <c r="BY18" s="1887"/>
      <c r="BZ18" s="1887"/>
      <c r="CA18" s="1887"/>
      <c r="CB18" s="1887"/>
      <c r="CC18" s="1887"/>
      <c r="CD18" s="1887"/>
      <c r="CE18" s="1887"/>
      <c r="CF18" s="1887"/>
      <c r="CG18" s="1887"/>
      <c r="CH18" s="1887"/>
      <c r="CI18" s="1887"/>
      <c r="CJ18" s="1887"/>
      <c r="CK18" s="1887"/>
      <c r="CL18" s="1885"/>
      <c r="CM18" s="1885"/>
      <c r="CN18" s="1885"/>
      <c r="CO18" s="1885"/>
      <c r="CP18" s="1885"/>
      <c r="CQ18" s="1885"/>
      <c r="CR18" s="1885"/>
      <c r="CS18" s="1885"/>
      <c r="CT18" s="1885"/>
      <c r="CU18" s="1885"/>
      <c r="CV18" s="1885"/>
      <c r="CW18" s="1885"/>
      <c r="CX18" s="1885"/>
      <c r="CY18" s="1887"/>
      <c r="CZ18" s="1887"/>
      <c r="DA18" s="1887"/>
      <c r="DB18" s="1887"/>
      <c r="DC18" s="1887"/>
      <c r="DD18" s="1887"/>
      <c r="DE18" s="1887"/>
      <c r="DF18" s="1887"/>
      <c r="DG18" s="1887"/>
      <c r="DH18" s="1887"/>
      <c r="DI18" s="1887"/>
      <c r="DJ18" s="1887"/>
      <c r="DK18" s="1885"/>
      <c r="DL18" s="1885"/>
      <c r="DM18" s="1885"/>
      <c r="DN18" s="1885"/>
      <c r="DO18" s="1885"/>
      <c r="DP18" s="1885"/>
      <c r="DQ18" s="1885"/>
      <c r="DR18" s="1885"/>
      <c r="DS18" s="1885"/>
      <c r="DT18" s="1885"/>
      <c r="DU18" s="1885"/>
      <c r="DV18" s="1885"/>
      <c r="DW18" s="1885"/>
      <c r="DX18" s="1885"/>
      <c r="DY18" s="1885"/>
      <c r="DZ18" s="1885"/>
      <c r="EA18" s="1885"/>
      <c r="EB18" s="1885"/>
      <c r="EC18" s="1885"/>
      <c r="ED18" s="1885"/>
      <c r="EE18" s="1885"/>
      <c r="EF18" s="1885"/>
      <c r="EG18" s="1885"/>
      <c r="EH18" s="1885"/>
      <c r="EI18" s="1885"/>
      <c r="EJ18" s="1885"/>
      <c r="EK18" s="1885"/>
      <c r="EL18" s="1885"/>
      <c r="EM18" s="1885"/>
      <c r="EN18" s="1885"/>
      <c r="EO18" s="1885"/>
      <c r="EP18" s="1885"/>
      <c r="EQ18" s="1885"/>
      <c r="ER18" s="1885"/>
      <c r="ES18" s="1885"/>
      <c r="ET18" s="1885"/>
      <c r="EU18" s="1885"/>
      <c r="EV18" s="1885"/>
      <c r="EW18" s="1885"/>
      <c r="EX18" s="1885"/>
      <c r="EY18" s="1885"/>
      <c r="EZ18" s="1885"/>
      <c r="FA18" s="1885"/>
      <c r="FB18" s="1885"/>
      <c r="FC18" s="1885"/>
      <c r="FD18" s="1885"/>
      <c r="FE18" s="1885"/>
      <c r="FF18" s="1885"/>
      <c r="FG18" s="1885"/>
      <c r="FH18" s="1885"/>
      <c r="FI18" s="1885"/>
      <c r="FJ18" s="1885"/>
      <c r="FK18" s="1885"/>
      <c r="FL18" s="1885"/>
      <c r="FM18" s="1885"/>
      <c r="FN18" s="1885"/>
      <c r="FO18" s="1885"/>
      <c r="FP18" s="1885"/>
      <c r="FQ18" s="1885"/>
      <c r="FR18" s="1885"/>
      <c r="FS18" s="1885"/>
      <c r="FT18" s="1885"/>
      <c r="FU18" s="1885"/>
      <c r="FV18" s="1885"/>
      <c r="FW18" s="1884"/>
      <c r="FX18" s="1888"/>
      <c r="GC18" s="1616">
        <v>0</v>
      </c>
    </row>
    <row s="62038" customFormat="1" customHeight="1" ht="11.25" hidden="1">
      <c r="B19" s="1615"/>
      <c r="E19" s="1631"/>
      <c r="F19" s="1884"/>
      <c r="G19" s="1884"/>
      <c r="H19" s="1884"/>
      <c r="I19" s="1884"/>
      <c r="J19" s="1884"/>
      <c r="K19" s="1884"/>
      <c r="L19" s="1884"/>
      <c r="M19" s="1884"/>
      <c r="N19" s="1884"/>
      <c r="O19" s="1884"/>
      <c r="P19" s="1884"/>
      <c r="Q19" s="1884"/>
      <c r="R19" s="1884"/>
      <c r="S19" s="1884"/>
      <c r="T19" s="1884"/>
      <c r="U19" s="1886"/>
      <c r="V19" s="1886"/>
      <c r="W19" s="1886"/>
      <c r="X19" s="1886"/>
      <c r="Y19" s="1886"/>
      <c r="Z19" s="1886"/>
      <c r="AA19" s="1886"/>
      <c r="AB19" s="1884"/>
      <c r="AC19" s="1884"/>
      <c r="AD19" s="1884"/>
      <c r="AE19" s="1884"/>
      <c r="AF19" s="1884"/>
      <c r="AG19" s="1884"/>
      <c r="AH19" s="1884"/>
      <c r="AI19" s="1884"/>
      <c r="AJ19" s="1884"/>
      <c r="AK19" s="1884"/>
      <c r="AL19" s="1884"/>
      <c r="AM19" s="1884"/>
      <c r="AN19" s="1884"/>
      <c r="AO19" s="1884"/>
      <c r="AP19" s="1884"/>
      <c r="AQ19" s="1884"/>
      <c r="AR19" s="1884"/>
      <c r="AS19" s="1884"/>
      <c r="AT19" s="1884"/>
      <c r="AU19" s="1884"/>
      <c r="AV19" s="1884"/>
      <c r="AW19" s="1884"/>
      <c r="AX19" s="1884"/>
      <c r="AY19" s="1884"/>
      <c r="AZ19" s="1884"/>
      <c r="BA19" s="1884"/>
      <c r="BB19" s="1884"/>
      <c r="BC19" s="1884"/>
      <c r="BD19" s="1884"/>
      <c r="BE19" s="1884"/>
      <c r="BF19" s="1884"/>
      <c r="BG19" s="1884"/>
      <c r="BH19" s="1884"/>
      <c r="BI19" s="1884"/>
      <c r="BJ19" s="1884"/>
      <c r="BK19" s="1884"/>
      <c r="BL19" s="1884"/>
      <c r="BM19" s="1884"/>
      <c r="BN19" s="1884"/>
      <c r="BO19" s="1884"/>
      <c r="BP19" s="1884"/>
      <c r="BQ19" s="1884"/>
      <c r="BR19" s="1884"/>
      <c r="BS19" s="1884"/>
      <c r="BT19" s="1884"/>
      <c r="BU19" s="1884"/>
      <c r="BV19" s="1884"/>
      <c r="BW19" s="1884"/>
      <c r="BX19" s="1884"/>
      <c r="BY19" s="1884"/>
      <c r="BZ19" s="1884"/>
      <c r="CA19" s="1884"/>
      <c r="CB19" s="1884"/>
      <c r="CC19" s="1884"/>
      <c r="CD19" s="1884"/>
      <c r="CE19" s="1884"/>
      <c r="CF19" s="1884"/>
      <c r="CG19" s="1884"/>
      <c r="CH19" s="1884"/>
      <c r="CI19" s="1884"/>
      <c r="CJ19" s="1884"/>
      <c r="CK19" s="1884"/>
      <c r="CL19" s="1884"/>
      <c r="CM19" s="1884"/>
      <c r="CN19" s="1884"/>
      <c r="CO19" s="1884"/>
      <c r="CP19" s="1884"/>
      <c r="CQ19" s="1884"/>
      <c r="CR19" s="1884"/>
      <c r="CS19" s="1884"/>
      <c r="CT19" s="1884"/>
      <c r="CU19" s="1884"/>
      <c r="CV19" s="1884"/>
      <c r="CW19" s="1884"/>
      <c r="CX19" s="1884"/>
      <c r="CY19" s="1884"/>
      <c r="CZ19" s="1884"/>
      <c r="DA19" s="1884"/>
      <c r="DB19" s="1884"/>
      <c r="DC19" s="1884"/>
      <c r="DD19" s="1884"/>
      <c r="DE19" s="1884"/>
      <c r="DF19" s="1884"/>
      <c r="DG19" s="1884"/>
      <c r="DH19" s="1884"/>
      <c r="DI19" s="1884"/>
      <c r="DJ19" s="1884"/>
      <c r="DK19" s="1884"/>
      <c r="DL19" s="1884"/>
      <c r="DM19" s="1884"/>
      <c r="DN19" s="1884"/>
      <c r="DO19" s="1884"/>
      <c r="DP19" s="1884"/>
      <c r="DQ19" s="1884"/>
      <c r="DR19" s="1884"/>
      <c r="DS19" s="1884"/>
      <c r="DT19" s="1884"/>
      <c r="DU19" s="1884"/>
      <c r="DV19" s="1884"/>
      <c r="DW19" s="1884"/>
      <c r="DX19" s="1884"/>
      <c r="DY19" s="1884"/>
      <c r="DZ19" s="1884"/>
      <c r="EA19" s="1884"/>
      <c r="EB19" s="1884"/>
      <c r="EC19" s="1884"/>
      <c r="ED19" s="1884"/>
      <c r="EE19" s="1884"/>
      <c r="EF19" s="1884"/>
      <c r="EG19" s="1884"/>
      <c r="EH19" s="1884"/>
      <c r="EI19" s="1884"/>
      <c r="EJ19" s="1884"/>
      <c r="EK19" s="1884"/>
      <c r="EL19" s="1884"/>
      <c r="EM19" s="1884"/>
      <c r="EN19" s="1884"/>
      <c r="EO19" s="1884"/>
      <c r="EP19" s="1884"/>
      <c r="EQ19" s="1884"/>
      <c r="ER19" s="1884"/>
      <c r="ES19" s="1884"/>
      <c r="ET19" s="1884"/>
      <c r="EU19" s="1884"/>
      <c r="EV19" s="1884"/>
      <c r="EW19" s="1884"/>
      <c r="EX19" s="1884"/>
      <c r="EY19" s="1884"/>
      <c r="EZ19" s="1884"/>
      <c r="FA19" s="1884"/>
      <c r="FB19" s="1884"/>
      <c r="FC19" s="1884"/>
      <c r="FD19" s="1884"/>
      <c r="FE19" s="1884"/>
      <c r="FF19" s="1884"/>
      <c r="FG19" s="1884"/>
      <c r="FH19" s="1884"/>
      <c r="FI19" s="1884"/>
      <c r="FJ19" s="1884"/>
      <c r="FK19" s="1884"/>
      <c r="FL19" s="1884"/>
      <c r="FM19" s="1884"/>
      <c r="FN19" s="1884"/>
      <c r="FO19" s="1884"/>
      <c r="FP19" s="1884"/>
      <c r="FQ19" s="1884"/>
      <c r="FR19" s="1884"/>
      <c r="FS19" s="1884"/>
      <c r="FT19" s="1884"/>
      <c r="FU19" s="1884"/>
      <c r="FV19" s="1884"/>
      <c r="FW19" s="1884"/>
      <c r="FX19" s="1888"/>
      <c r="GC19" s="1616">
        <v>0</v>
      </c>
    </row>
    <row s="62038" customFormat="1" customHeight="1" ht="11.25" hidden="1">
      <c r="B20" s="1632"/>
      <c r="D20" s="1616"/>
      <c r="E20" s="1631"/>
      <c r="F20" s="1889" t="s">
        <v>451</v>
      </c>
      <c r="G20" s="1890"/>
      <c r="H20" s="1891"/>
      <c r="I20" s="1891"/>
      <c r="J20" s="1891"/>
      <c r="K20" s="1891"/>
      <c r="L20" s="1891"/>
      <c r="M20" s="1891"/>
      <c r="N20" s="1891"/>
      <c r="O20" s="1890"/>
      <c r="P20" s="1890"/>
      <c r="Q20" s="1890"/>
      <c r="R20" s="1890"/>
      <c r="S20" s="1890"/>
      <c r="T20" s="1890"/>
      <c r="U20" s="1892"/>
      <c r="V20" s="1892"/>
      <c r="W20" s="1892"/>
      <c r="X20" s="1892"/>
      <c r="Y20" s="1892"/>
      <c r="Z20" s="1892"/>
      <c r="AA20" s="1892"/>
      <c r="AB20" s="1890"/>
      <c r="AC20" s="1891"/>
      <c r="AD20" s="1891"/>
      <c r="AE20" s="1891"/>
      <c r="AF20" s="1891"/>
      <c r="AG20" s="1891"/>
      <c r="AH20" s="1891"/>
      <c r="AI20" s="1891"/>
      <c r="AJ20" s="1891"/>
      <c r="AK20" s="1891"/>
      <c r="AL20" s="1891"/>
      <c r="AM20" s="1891"/>
      <c r="AN20" s="1891"/>
      <c r="AO20" s="1891"/>
      <c r="AP20" s="1891"/>
      <c r="AQ20" s="1891"/>
      <c r="AR20" s="1891"/>
      <c r="AS20" s="1891"/>
      <c r="AT20" s="1891"/>
      <c r="AU20" s="1891"/>
      <c r="AV20" s="1891"/>
      <c r="AW20" s="1891"/>
      <c r="AX20" s="1891"/>
      <c r="AY20" s="1891"/>
      <c r="AZ20" s="1891"/>
      <c r="BA20" s="1891"/>
      <c r="BB20" s="1891"/>
      <c r="BC20" s="1891"/>
      <c r="BD20" s="1891"/>
      <c r="BE20" s="1891"/>
      <c r="BF20" s="1891"/>
      <c r="BG20" s="1891"/>
      <c r="BH20" s="1891"/>
      <c r="BI20" s="1891"/>
      <c r="BJ20" s="1891"/>
      <c r="BK20" s="1891"/>
      <c r="BL20" s="1891"/>
      <c r="BM20" s="1891"/>
      <c r="BN20" s="1891"/>
      <c r="BO20" s="1891"/>
      <c r="BP20" s="1891"/>
      <c r="BQ20" s="1891"/>
      <c r="BR20" s="1891"/>
      <c r="BS20" s="1891"/>
      <c r="BT20" s="1891"/>
      <c r="BU20" s="1891"/>
      <c r="BV20" s="1891"/>
      <c r="BW20" s="1891"/>
      <c r="BX20" s="1891"/>
      <c r="BY20" s="1891"/>
      <c r="BZ20" s="1891"/>
      <c r="CA20" s="1891"/>
      <c r="CB20" s="1891"/>
      <c r="CC20" s="1891"/>
      <c r="CD20" s="1891"/>
      <c r="CE20" s="1891"/>
      <c r="CF20" s="1891"/>
      <c r="CG20" s="1891"/>
      <c r="CH20" s="1891"/>
      <c r="CI20" s="1891"/>
      <c r="CJ20" s="1891"/>
      <c r="CK20" s="1891"/>
      <c r="CL20" s="1893"/>
      <c r="CM20" s="1893"/>
      <c r="CN20" s="1893"/>
      <c r="CO20" s="1893"/>
      <c r="CP20" s="1893"/>
      <c r="CQ20" s="1893"/>
      <c r="CR20" s="1893"/>
      <c r="CS20" s="1893"/>
      <c r="CT20" s="1893"/>
      <c r="CU20" s="1893"/>
      <c r="CV20" s="1893"/>
      <c r="CW20" s="1893"/>
      <c r="CX20" s="1893"/>
      <c r="CY20" s="1893"/>
      <c r="CZ20" s="1893"/>
      <c r="DA20" s="1893"/>
      <c r="DB20" s="1893"/>
      <c r="DC20" s="1893"/>
      <c r="DD20" s="1893"/>
      <c r="DE20" s="1893"/>
      <c r="DF20" s="1893"/>
      <c r="DG20" s="1893"/>
      <c r="DH20" s="1893"/>
      <c r="DI20" s="1893"/>
      <c r="DJ20" s="1893"/>
      <c r="DK20" s="1893"/>
      <c r="DL20" s="1893"/>
      <c r="DM20" s="1893"/>
      <c r="DN20" s="1893"/>
      <c r="DO20" s="1893"/>
      <c r="DP20" s="1893"/>
      <c r="DQ20" s="1893"/>
      <c r="DR20" s="1893"/>
      <c r="DS20" s="1893"/>
      <c r="DT20" s="1893"/>
      <c r="DU20" s="1893"/>
      <c r="DV20" s="1893"/>
      <c r="DW20" s="1893"/>
      <c r="DX20" s="1893"/>
      <c r="DY20" s="1893"/>
      <c r="DZ20" s="1893"/>
      <c r="EA20" s="1893"/>
      <c r="EB20" s="1893"/>
      <c r="EC20" s="1893"/>
      <c r="ED20" s="1893"/>
      <c r="EE20" s="1893"/>
      <c r="EF20" s="1893"/>
      <c r="EG20" s="1893"/>
      <c r="EH20" s="1893"/>
      <c r="EI20" s="1893"/>
      <c r="EJ20" s="1893"/>
      <c r="EK20" s="1893"/>
      <c r="EL20" s="1893"/>
      <c r="EM20" s="1893"/>
      <c r="EN20" s="1893"/>
      <c r="EO20" s="1893"/>
      <c r="EP20" s="1893"/>
      <c r="EQ20" s="1893"/>
      <c r="ER20" s="1893"/>
      <c r="ES20" s="1893"/>
      <c r="ET20" s="1893"/>
      <c r="EU20" s="1893"/>
      <c r="EV20" s="1893"/>
      <c r="EW20" s="1893"/>
      <c r="EX20" s="1893"/>
      <c r="EY20" s="1893"/>
      <c r="EZ20" s="1893"/>
      <c r="FA20" s="1893"/>
      <c r="FB20" s="1893"/>
      <c r="FC20" s="1893"/>
      <c r="FD20" s="1893"/>
      <c r="FE20" s="1893"/>
      <c r="FF20" s="1893"/>
      <c r="FG20" s="1893"/>
      <c r="FH20" s="1893"/>
      <c r="FI20" s="1893"/>
      <c r="FJ20" s="1893"/>
      <c r="FK20" s="1893"/>
      <c r="FL20" s="1893"/>
      <c r="FM20" s="1893"/>
      <c r="FN20" s="1893"/>
      <c r="FO20" s="1893"/>
      <c r="FP20" s="1893"/>
      <c r="FQ20" s="1893"/>
      <c r="FR20" s="1893"/>
      <c r="FS20" s="1893"/>
      <c r="FT20" s="1893"/>
      <c r="FU20" s="1893"/>
      <c r="FV20" s="1893"/>
      <c r="FW20" s="1893"/>
      <c r="FX20" s="1894"/>
      <c r="GC20" s="1614">
        <v>0</v>
      </c>
    </row>
    <row s="62038" customFormat="1" customHeight="1" ht="12.75">
      <c r="A21" s="1633"/>
      <c r="B21" s="1633"/>
      <c r="C21" s="1633"/>
      <c r="D21" s="1633"/>
      <c r="E21" s="1633"/>
      <c r="F21" s="1631"/>
      <c r="G21" s="1631"/>
      <c r="H21" s="1631"/>
      <c r="I21" s="1631"/>
      <c r="J21" s="1631"/>
      <c r="K21" s="1631"/>
      <c r="L21" s="1631"/>
      <c r="M21" s="1631"/>
      <c r="N21" s="1631"/>
      <c r="O21" s="1631"/>
      <c r="P21" s="1631"/>
      <c r="Q21" s="1631"/>
      <c r="R21" s="1631"/>
      <c r="S21" s="1634"/>
      <c r="T21" s="1634"/>
      <c r="U21" s="1631"/>
      <c r="V21" s="1631"/>
      <c r="W21" s="1631"/>
      <c r="X21" s="1631"/>
      <c r="Y21" s="1631"/>
      <c r="Z21" s="1631"/>
      <c r="AA21" s="1631"/>
      <c r="AB21" s="1631"/>
      <c r="AC21" s="1631"/>
      <c r="AD21" s="1631"/>
      <c r="AE21" s="1631"/>
      <c r="AF21" s="1631"/>
      <c r="AG21" s="1631"/>
      <c r="AH21" s="1631"/>
      <c r="AI21" s="1631"/>
      <c r="AJ21" s="1631"/>
      <c r="AK21" s="1631"/>
      <c r="AL21" s="1631"/>
      <c r="AM21" s="1631"/>
      <c r="AN21" s="1631"/>
      <c r="AO21" s="1631"/>
      <c r="AP21" s="1631"/>
      <c r="AQ21" s="1631"/>
      <c r="AR21" s="1631"/>
      <c r="AS21" s="1631"/>
      <c r="AT21" s="1631"/>
      <c r="AU21" s="1631"/>
      <c r="AV21" s="1631"/>
      <c r="AW21" s="1631"/>
      <c r="AX21" s="1631"/>
      <c r="AY21" s="1631"/>
      <c r="AZ21" s="1631"/>
      <c r="BA21" s="1631"/>
      <c r="BB21" s="1631"/>
      <c r="BC21" s="1631"/>
      <c r="BD21" s="1631"/>
      <c r="BE21" s="1631"/>
      <c r="BF21" s="1631"/>
      <c r="BG21" s="1631"/>
      <c r="BH21" s="1631"/>
      <c r="BI21" s="1631"/>
      <c r="BJ21" s="1631"/>
      <c r="BK21" s="1631"/>
      <c r="BL21" s="1631"/>
      <c r="BM21" s="1631"/>
      <c r="BN21" s="1631"/>
      <c r="BO21" s="1631"/>
      <c r="BP21" s="1631"/>
      <c r="BQ21" s="1631"/>
      <c r="BR21" s="1631"/>
      <c r="BS21" s="1631"/>
      <c r="BT21" s="1631"/>
      <c r="BU21" s="1631"/>
      <c r="BV21" s="1631"/>
      <c r="BW21" s="1631"/>
      <c r="BX21" s="1631"/>
      <c r="BY21" s="1631"/>
      <c r="BZ21" s="1631"/>
      <c r="CA21" s="1631"/>
      <c r="CB21" s="1631"/>
      <c r="CC21" s="1631"/>
      <c r="CD21" s="1631"/>
      <c r="CE21" s="1631"/>
      <c r="CF21" s="1631"/>
      <c r="CG21" s="1631"/>
      <c r="CH21" s="1631"/>
      <c r="CI21" s="1631"/>
      <c r="CJ21" s="1631"/>
      <c r="CK21" s="1631"/>
      <c r="CL21" s="1631"/>
      <c r="CM21" s="1631"/>
      <c r="CN21" s="1631"/>
      <c r="CO21" s="1631"/>
      <c r="CP21" s="1631"/>
      <c r="CQ21" s="1631"/>
      <c r="CR21" s="1631"/>
      <c r="CS21" s="1631"/>
      <c r="CT21" s="1631"/>
      <c r="CU21" s="1631"/>
      <c r="CV21" s="1631"/>
      <c r="CW21" s="1631"/>
      <c r="CX21" s="1631"/>
      <c r="CY21" s="1631"/>
      <c r="CZ21" s="1631"/>
      <c r="DA21" s="1631"/>
      <c r="DB21" s="1631"/>
      <c r="DC21" s="1631"/>
      <c r="DD21" s="1631"/>
      <c r="DE21" s="1631"/>
      <c r="DF21" s="1631"/>
      <c r="DG21" s="1631"/>
      <c r="DH21" s="1631"/>
      <c r="DI21" s="1631"/>
      <c r="DJ21" s="1631"/>
      <c r="DK21" s="1631"/>
      <c r="DL21" s="1631"/>
      <c r="DM21" s="1631"/>
      <c r="DN21" s="1631"/>
      <c r="DO21" s="1631"/>
      <c r="DP21" s="1631"/>
      <c r="DQ21" s="1631"/>
      <c r="DR21" s="1631"/>
      <c r="DS21" s="1631"/>
      <c r="DT21" s="1631"/>
      <c r="DU21" s="1631"/>
      <c r="DV21" s="1631"/>
      <c r="DW21" s="1631"/>
      <c r="DX21" s="1631"/>
      <c r="DY21" s="1631"/>
      <c r="DZ21" s="1631"/>
      <c r="EA21" s="1631"/>
      <c r="EB21" s="1631"/>
      <c r="EC21" s="1631"/>
      <c r="ED21" s="1631"/>
      <c r="EE21" s="1631"/>
      <c r="EF21" s="1631"/>
      <c r="EG21" s="1631"/>
      <c r="EH21" s="1631"/>
      <c r="EI21" s="1631"/>
      <c r="EJ21" s="1631"/>
      <c r="EK21" s="1631"/>
      <c r="EL21" s="1631"/>
      <c r="EM21" s="1631"/>
      <c r="EN21" s="1631"/>
      <c r="EO21" s="1631"/>
      <c r="EP21" s="1631"/>
      <c r="EQ21" s="1631"/>
      <c r="ER21" s="1631"/>
      <c r="ES21" s="1631"/>
      <c r="ET21" s="1631"/>
      <c r="EU21" s="1631"/>
      <c r="EV21" s="1631"/>
      <c r="EW21" s="1631"/>
      <c r="EX21" s="1631"/>
      <c r="EY21" s="1631"/>
      <c r="EZ21" s="1631"/>
      <c r="FA21" s="1631"/>
      <c r="FB21" s="1631"/>
      <c r="FC21" s="1631"/>
      <c r="FD21" s="1631"/>
      <c r="FE21" s="1631"/>
      <c r="FF21" s="1631"/>
      <c r="FG21" s="1631"/>
      <c r="FH21" s="1631"/>
      <c r="FI21" s="1631"/>
      <c r="FJ21" s="1631"/>
      <c r="FK21" s="1631"/>
      <c r="FL21" s="1631"/>
      <c r="FM21" s="1631"/>
      <c r="FN21" s="1631"/>
      <c r="FO21" s="1631"/>
      <c r="FP21" s="1631"/>
      <c r="FQ21" s="1631"/>
      <c r="FR21" s="1631"/>
      <c r="FS21" s="1631"/>
      <c r="FT21" s="1631"/>
      <c r="FU21" s="1631"/>
      <c r="FV21" s="1631"/>
      <c r="FW21" s="1631"/>
      <c r="FX21" s="1633"/>
      <c r="FY21" s="1633"/>
      <c r="FZ21" s="1633"/>
      <c r="GA21" s="1633"/>
      <c r="GB21" s="1633"/>
      <c r="GC21" s="1614">
        <v>12</v>
      </c>
    </row>
    <row s="62038" customFormat="1" customHeight="1" ht="12.75">
      <c r="A22" s="1633"/>
      <c r="B22" s="1633"/>
      <c r="C22" s="1633"/>
      <c r="D22" s="1633"/>
      <c r="E22" s="1633"/>
      <c r="FX22" s="1633"/>
      <c r="FY22" s="1633"/>
      <c r="FZ22" s="1633"/>
      <c r="GA22" s="1633"/>
      <c r="GB22" s="1633"/>
      <c r="GC22" s="1614">
        <v>12</v>
      </c>
    </row>
    <row s="62108" customFormat="1" customHeight="1" ht="12.75">
      <c r="A23" s="1754"/>
      <c r="B23" s="1754"/>
      <c r="C23" s="1754"/>
      <c r="D23" s="1754"/>
      <c r="E23" s="1754"/>
      <c r="O23" s="1756"/>
      <c r="P23" s="1756"/>
      <c r="Q23" s="1756"/>
      <c r="R23" s="1756"/>
      <c r="S23" s="1756"/>
      <c r="T23" s="1756"/>
      <c r="U23" s="1756"/>
      <c r="V23" s="1756"/>
      <c r="W23" s="1756"/>
      <c r="X23" s="1756"/>
      <c r="Y23" s="1756"/>
      <c r="Z23" s="1756"/>
      <c r="AA23" s="1756"/>
      <c r="AB23" s="1756"/>
      <c r="AC23" s="1756"/>
      <c r="AD23" s="1756"/>
      <c r="AE23" s="1756"/>
      <c r="AF23" s="1756"/>
      <c r="AG23" s="1756"/>
      <c r="AH23" s="1756"/>
      <c r="AI23" s="1756"/>
      <c r="AJ23" s="1756"/>
      <c r="AK23" s="1756"/>
      <c r="AL23" s="1756"/>
      <c r="AM23" s="1756"/>
      <c r="AN23" s="1756"/>
      <c r="AO23" s="1756"/>
      <c r="AP23" s="1756"/>
      <c r="AQ23" s="1756"/>
      <c r="AR23" s="1756"/>
      <c r="AS23" s="1756"/>
      <c r="AT23" s="1756"/>
      <c r="AU23" s="1756"/>
      <c r="AV23" s="1756"/>
      <c r="AW23" s="1756"/>
      <c r="AX23" s="1756"/>
      <c r="AY23" s="1756"/>
      <c r="AZ23" s="1756"/>
      <c r="BA23" s="1756"/>
      <c r="BB23" s="1756"/>
      <c r="BC23" s="1756"/>
      <c r="BD23" s="1756"/>
      <c r="BE23" s="1756"/>
      <c r="BF23" s="1756"/>
      <c r="BG23" s="1756"/>
      <c r="BH23" s="1756"/>
      <c r="BI23" s="1756"/>
      <c r="BJ23" s="1756"/>
      <c r="BK23" s="1756"/>
      <c r="BL23" s="1756"/>
      <c r="BM23" s="1756"/>
      <c r="BN23" s="1756"/>
      <c r="BO23" s="1756"/>
      <c r="BP23" s="1756"/>
      <c r="BQ23" s="1756"/>
      <c r="BR23" s="1756"/>
      <c r="BS23" s="1756"/>
      <c r="BT23" s="1757"/>
      <c r="BU23" s="1757"/>
      <c r="BV23" s="1757"/>
      <c r="BW23" s="1757"/>
      <c r="BX23" s="1757"/>
      <c r="BY23" s="1757"/>
      <c r="BZ23" s="1757"/>
      <c r="CA23" s="1757"/>
      <c r="CB23" s="1757"/>
      <c r="CC23" s="1757"/>
      <c r="CD23" s="1757"/>
      <c r="CE23" s="1757"/>
      <c r="CF23" s="1757"/>
      <c r="CG23" s="1757"/>
      <c r="CH23" s="1757"/>
      <c r="CI23" s="1757"/>
      <c r="CJ23" s="1757"/>
      <c r="CK23" s="1757"/>
      <c r="CL23" s="1757"/>
      <c r="CM23" s="1757"/>
      <c r="CN23" s="1757"/>
      <c r="CO23" s="1757"/>
      <c r="CP23" s="1757"/>
      <c r="CQ23" s="1757"/>
      <c r="CR23" s="1757"/>
      <c r="CS23" s="1757"/>
      <c r="CT23" s="1757"/>
      <c r="CU23" s="1757"/>
      <c r="CV23" s="1757"/>
      <c r="CW23" s="1757"/>
      <c r="CX23" s="1757"/>
      <c r="CY23" s="1757"/>
      <c r="CZ23" s="1757"/>
      <c r="DA23" s="1757"/>
      <c r="DB23" s="1757"/>
      <c r="DC23" s="1757"/>
      <c r="DD23" s="1757"/>
      <c r="DE23" s="1757"/>
      <c r="DF23" s="1757"/>
      <c r="DG23" s="1757"/>
      <c r="DH23" s="1757"/>
      <c r="DI23" s="1757"/>
      <c r="DJ23" s="1757"/>
      <c r="DK23" s="1757"/>
      <c r="DL23" s="1757"/>
      <c r="DM23" s="1757"/>
      <c r="DN23" s="1757"/>
      <c r="DO23" s="1757"/>
      <c r="DP23" s="1757"/>
      <c r="DQ23" s="1757"/>
      <c r="DR23" s="1757"/>
      <c r="DS23" s="1757"/>
      <c r="DT23" s="1757"/>
      <c r="DU23" s="1757"/>
      <c r="DV23" s="1757"/>
      <c r="DW23" s="1757"/>
      <c r="DX23" s="1757"/>
      <c r="FX23" s="1754"/>
      <c r="FY23" s="1754"/>
      <c r="FZ23" s="1754"/>
      <c r="GA23" s="1754"/>
      <c r="GB23" s="1754"/>
      <c r="GC23" s="1755">
        <v>12</v>
      </c>
    </row>
    <row customHeight="1" ht="12.75">
      <c r="S24" s="1630"/>
      <c r="T24" s="1630"/>
      <c r="U24" s="1630"/>
      <c r="V24" s="1630"/>
      <c r="W24" s="1630"/>
      <c r="X24" s="1630"/>
      <c r="Y24" s="1630"/>
      <c r="Z24" s="1630"/>
      <c r="AA24" s="1630"/>
      <c r="AB24" s="1630"/>
      <c r="FX24" s="1630"/>
      <c r="FY24" s="1630"/>
      <c r="FZ24" s="1630"/>
      <c r="GA24" s="1630"/>
      <c r="GB24" s="1630"/>
      <c r="GC24" s="1618">
        <v>12</v>
      </c>
    </row>
    <row customHeight="1" ht="12" hidden="1">
      <c r="A25" s="1618" t="s">
        <v>83</v>
      </c>
      <c r="B25" s="1628">
        <v>0</v>
      </c>
      <c r="C25" s="1618">
        <v>0</v>
      </c>
      <c r="D25" s="1618">
        <v>0</v>
      </c>
      <c r="E25" s="1618">
        <v>3</v>
      </c>
      <c r="F25" s="1618">
        <v>6</v>
      </c>
      <c r="G25" s="1618">
        <v>18</v>
      </c>
      <c r="H25" s="1618">
        <v>27</v>
      </c>
      <c r="I25" s="1618">
        <v>18</v>
      </c>
      <c r="J25" s="1618">
        <v>0</v>
      </c>
      <c r="K25" s="1618">
        <v>0</v>
      </c>
      <c r="L25" s="1618">
        <v>0</v>
      </c>
      <c r="M25" s="1618">
        <v>0</v>
      </c>
      <c r="N25" s="1618">
        <v>0</v>
      </c>
      <c r="O25" s="1618">
        <v>0</v>
      </c>
      <c r="P25" s="1618">
        <v>0</v>
      </c>
      <c r="Q25" s="1618">
        <v>0</v>
      </c>
      <c r="R25" s="1618">
        <v>0</v>
      </c>
      <c r="S25" s="1618">
        <v>0</v>
      </c>
      <c r="T25" s="1618">
        <v>0</v>
      </c>
      <c r="U25" s="1618">
        <v>0</v>
      </c>
      <c r="V25" s="1618">
        <v>0</v>
      </c>
      <c r="W25" s="1618">
        <v>0</v>
      </c>
      <c r="X25" s="1618">
        <v>0</v>
      </c>
      <c r="Y25" s="1618">
        <v>0</v>
      </c>
      <c r="Z25" s="1618">
        <v>0</v>
      </c>
      <c r="AA25" s="1618">
        <v>0</v>
      </c>
      <c r="AB25" s="1618">
        <v>0</v>
      </c>
      <c r="AC25" s="1618">
        <v>0</v>
      </c>
      <c r="AD25" s="1618">
        <v>0</v>
      </c>
      <c r="AE25" s="1618">
        <v>0</v>
      </c>
      <c r="AF25" s="1618">
        <v>0</v>
      </c>
      <c r="AG25" s="1618">
        <v>0</v>
      </c>
      <c r="AH25" s="1618">
        <v>0</v>
      </c>
      <c r="AI25" s="1618">
        <v>0</v>
      </c>
      <c r="AJ25" s="1618">
        <v>0</v>
      </c>
      <c r="AK25" s="1618">
        <v>0</v>
      </c>
      <c r="AL25" s="1618">
        <v>0</v>
      </c>
      <c r="AM25" s="1618">
        <v>0</v>
      </c>
      <c r="AN25" s="1618">
        <v>0</v>
      </c>
      <c r="AO25" s="1618">
        <v>0</v>
      </c>
      <c r="AP25" s="1618">
        <v>0</v>
      </c>
      <c r="AQ25" s="1618">
        <v>0</v>
      </c>
      <c r="AR25" s="1618">
        <v>0</v>
      </c>
      <c r="AS25" s="1618">
        <v>0</v>
      </c>
      <c r="AT25" s="1618">
        <v>0</v>
      </c>
      <c r="AU25" s="1618">
        <v>0</v>
      </c>
      <c r="AV25" s="1618">
        <v>0</v>
      </c>
      <c r="AW25" s="1618">
        <v>0</v>
      </c>
      <c r="AX25" s="1618">
        <v>0</v>
      </c>
      <c r="AY25" s="1618">
        <v>0</v>
      </c>
      <c r="AZ25" s="1618">
        <v>0</v>
      </c>
      <c r="BA25" s="1618">
        <v>0</v>
      </c>
      <c r="BB25" s="1618">
        <v>0</v>
      </c>
      <c r="BC25" s="1618">
        <v>0</v>
      </c>
      <c r="BD25" s="1618">
        <v>0</v>
      </c>
      <c r="BE25" s="1618">
        <v>0</v>
      </c>
      <c r="BF25" s="1618">
        <v>0</v>
      </c>
      <c r="BG25" s="1618">
        <v>0</v>
      </c>
      <c r="BH25" s="1618">
        <v>0</v>
      </c>
      <c r="BI25" s="1618">
        <v>0</v>
      </c>
      <c r="BJ25" s="1618">
        <v>0</v>
      </c>
      <c r="BK25" s="1618">
        <v>0</v>
      </c>
      <c r="BL25" s="1618">
        <v>0</v>
      </c>
      <c r="BM25" s="1618">
        <v>0</v>
      </c>
      <c r="BN25" s="1618">
        <v>0</v>
      </c>
      <c r="BO25" s="1618">
        <v>0</v>
      </c>
      <c r="BP25" s="1618">
        <v>0</v>
      </c>
      <c r="BQ25" s="1618">
        <v>0</v>
      </c>
      <c r="BR25" s="1618">
        <v>0</v>
      </c>
      <c r="BS25" s="1618">
        <v>0</v>
      </c>
      <c r="BT25" s="1618">
        <v>0</v>
      </c>
      <c r="BU25" s="1618">
        <v>0</v>
      </c>
      <c r="BV25" s="1618">
        <v>0</v>
      </c>
      <c r="BW25" s="1618">
        <v>0</v>
      </c>
      <c r="BX25" s="1618">
        <v>0</v>
      </c>
      <c r="BY25" s="1618">
        <v>0</v>
      </c>
      <c r="BZ25" s="1618">
        <v>0</v>
      </c>
      <c r="CA25" s="1618">
        <v>0</v>
      </c>
      <c r="CB25" s="1618">
        <v>0</v>
      </c>
      <c r="CC25" s="1618">
        <v>0</v>
      </c>
      <c r="CD25" s="1618">
        <v>0</v>
      </c>
      <c r="CE25" s="1618">
        <v>0</v>
      </c>
      <c r="CF25" s="1618">
        <v>0</v>
      </c>
      <c r="CG25" s="1618">
        <v>0</v>
      </c>
      <c r="CH25" s="1618">
        <v>0</v>
      </c>
      <c r="CI25" s="1618">
        <v>0</v>
      </c>
      <c r="CJ25" s="1618">
        <v>0</v>
      </c>
      <c r="CK25" s="1618">
        <v>0</v>
      </c>
      <c r="CL25" s="1618">
        <v>0</v>
      </c>
      <c r="CM25" s="1618">
        <v>0</v>
      </c>
      <c r="CN25" s="1618">
        <v>0</v>
      </c>
      <c r="CO25" s="1618">
        <v>0</v>
      </c>
      <c r="CP25" s="1618">
        <v>0</v>
      </c>
      <c r="CQ25" s="1618">
        <v>0</v>
      </c>
      <c r="CR25" s="1618">
        <v>0</v>
      </c>
      <c r="CS25" s="1618">
        <v>0</v>
      </c>
      <c r="CT25" s="1618">
        <v>0</v>
      </c>
      <c r="CU25" s="1618">
        <v>0</v>
      </c>
      <c r="CV25" s="1618">
        <v>0</v>
      </c>
      <c r="CW25" s="1618">
        <v>0</v>
      </c>
      <c r="CX25" s="1618">
        <v>0</v>
      </c>
      <c r="CY25" s="1618">
        <v>0</v>
      </c>
      <c r="CZ25" s="1618">
        <v>0</v>
      </c>
      <c r="DA25" s="1618">
        <v>0</v>
      </c>
      <c r="DB25" s="1618">
        <v>0</v>
      </c>
      <c r="DC25" s="1618">
        <v>0</v>
      </c>
      <c r="DD25" s="1618">
        <v>0</v>
      </c>
      <c r="DE25" s="1618">
        <v>0</v>
      </c>
      <c r="DF25" s="1618">
        <v>0</v>
      </c>
      <c r="DG25" s="1618">
        <v>0</v>
      </c>
      <c r="DH25" s="1618">
        <v>0</v>
      </c>
      <c r="DI25" s="1618">
        <v>0</v>
      </c>
      <c r="DJ25" s="1618">
        <v>0</v>
      </c>
      <c r="DK25" s="1618">
        <v>0</v>
      </c>
      <c r="DL25" s="1618">
        <v>0</v>
      </c>
      <c r="DM25" s="1618">
        <v>0</v>
      </c>
      <c r="DN25" s="1618">
        <v>0</v>
      </c>
      <c r="DO25" s="1618">
        <v>0</v>
      </c>
      <c r="DP25" s="1618">
        <v>0</v>
      </c>
      <c r="DQ25" s="1618">
        <v>0</v>
      </c>
      <c r="DR25" s="1618">
        <v>0</v>
      </c>
      <c r="DS25" s="1618">
        <v>0</v>
      </c>
      <c r="DT25" s="1618">
        <v>0</v>
      </c>
      <c r="DU25" s="1618">
        <v>0</v>
      </c>
      <c r="DV25" s="1618">
        <v>0</v>
      </c>
      <c r="DW25" s="1618">
        <v>0</v>
      </c>
      <c r="DX25" s="1618">
        <v>0</v>
      </c>
      <c r="DY25" s="1618">
        <v>0</v>
      </c>
      <c r="DZ25" s="1618">
        <v>0</v>
      </c>
      <c r="EA25" s="1618">
        <v>0</v>
      </c>
      <c r="EB25" s="1618">
        <v>0</v>
      </c>
      <c r="EC25" s="1618">
        <v>0</v>
      </c>
      <c r="ED25" s="1618">
        <v>0</v>
      </c>
      <c r="EE25" s="1618">
        <v>0</v>
      </c>
      <c r="EF25" s="1618">
        <v>0</v>
      </c>
      <c r="EG25" s="1618">
        <v>0</v>
      </c>
      <c r="EH25" s="1618">
        <v>0</v>
      </c>
      <c r="EI25" s="1618">
        <v>0</v>
      </c>
      <c r="EJ25" s="1618">
        <v>0</v>
      </c>
      <c r="EK25" s="1618">
        <v>0</v>
      </c>
      <c r="EL25" s="1618">
        <v>0</v>
      </c>
      <c r="EM25" s="1618">
        <v>0</v>
      </c>
      <c r="EN25" s="1618">
        <v>0</v>
      </c>
      <c r="EO25" s="1618">
        <v>0</v>
      </c>
      <c r="EP25" s="1618">
        <v>0</v>
      </c>
      <c r="EQ25" s="1618">
        <v>0</v>
      </c>
      <c r="ER25" s="1618">
        <v>0</v>
      </c>
      <c r="ES25" s="1618">
        <v>0</v>
      </c>
      <c r="ET25" s="1618">
        <v>0</v>
      </c>
      <c r="EU25" s="1618">
        <v>0</v>
      </c>
      <c r="EV25" s="1618">
        <v>0</v>
      </c>
      <c r="EW25" s="1618">
        <v>0</v>
      </c>
      <c r="EX25" s="1618">
        <v>0</v>
      </c>
      <c r="EY25" s="1618">
        <v>0</v>
      </c>
      <c r="EZ25" s="1618">
        <v>0</v>
      </c>
      <c r="FA25" s="1618">
        <v>0</v>
      </c>
      <c r="FB25" s="1618">
        <v>0</v>
      </c>
      <c r="FC25" s="1618">
        <v>0</v>
      </c>
      <c r="FD25" s="1618">
        <v>0</v>
      </c>
      <c r="FE25" s="1618">
        <v>0</v>
      </c>
      <c r="FF25" s="1618">
        <v>0</v>
      </c>
      <c r="FG25" s="1618">
        <v>0</v>
      </c>
      <c r="FH25" s="1618">
        <v>0</v>
      </c>
      <c r="FI25" s="1618">
        <v>0</v>
      </c>
      <c r="FJ25" s="1618">
        <v>0</v>
      </c>
      <c r="FK25" s="1618">
        <v>0</v>
      </c>
      <c r="FL25" s="1618">
        <v>0</v>
      </c>
      <c r="FM25" s="1618">
        <v>0</v>
      </c>
      <c r="FN25" s="1618">
        <v>0</v>
      </c>
      <c r="FO25" s="1618">
        <v>0</v>
      </c>
      <c r="FP25" s="1618">
        <v>0</v>
      </c>
      <c r="FQ25" s="1618">
        <v>0</v>
      </c>
      <c r="FR25" s="1618">
        <v>0</v>
      </c>
      <c r="FS25" s="1618">
        <v>0</v>
      </c>
      <c r="FT25" s="1618">
        <v>0</v>
      </c>
      <c r="FU25" s="1618">
        <v>0</v>
      </c>
      <c r="FV25" s="1618">
        <v>0</v>
      </c>
      <c r="FW25" s="1618">
        <v>0</v>
      </c>
      <c r="FX25" s="1618">
        <v>8</v>
      </c>
      <c r="FY25" s="1618">
        <v>8</v>
      </c>
      <c r="FZ25" s="1618">
        <v>8</v>
      </c>
      <c r="GA25" s="1618">
        <v>8</v>
      </c>
      <c r="GB25" s="1618">
        <v>8</v>
      </c>
      <c r="GC25" s="1618">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EC05C5-5B59-27D5-C91A-AE79D15DC87E}"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62759" width="9.140625" hidden="1" customWidth="1"/>
    <col min="2" max="2" style="62286" width="9.140625" hidden="1" customWidth="1"/>
    <col min="3" max="3" style="62111" width="4.00390625" customWidth="1"/>
    <col min="4" max="4" style="62286" width="6.00390625" customWidth="1"/>
    <col min="5" max="5" style="62286" width="36.00390625" customWidth="1"/>
    <col min="6" max="6" style="62286" width="9.00390625" customWidth="1"/>
    <col min="7" max="7" style="62286" width="42.421875" hidden="1" customWidth="1"/>
    <col min="8" max="8" style="62286" width="40.7109375" customWidth="1"/>
    <col min="9" max="9" style="62148" width="93.00390625" customWidth="1"/>
    <col min="10" max="17" style="62286" width="10.00390625" customWidth="1"/>
    <col min="18" max="18" style="62545" width="10.00390625" customWidth="1"/>
    <col min="19" max="19" style="62286" width="10.57421875" hidden="1"/>
  </cols>
  <sheetData>
    <row s="62148" customFormat="1" customHeight="1" ht="15" hidden="1">
      <c r="C1" s="1364"/>
      <c r="H1" s="1109">
        <v>4</v>
      </c>
      <c r="R1" s="1112"/>
      <c r="S1" s="1109" t="s">
        <v>14</v>
      </c>
    </row>
    <row customHeight="1" ht="22.5" hidden="1">
      <c r="C2" s="2620" t="s">
        <v>104</v>
      </c>
      <c r="D2" s="1231"/>
      <c r="E2" s="1355"/>
      <c r="F2" s="2453" t="str">
        <f>IF(TEMPLATE_SPHERE="HEAT","Гкал/час","тыс. куб. м/сутки")</f>
        <v>Гкал/час</v>
      </c>
      <c r="G2" s="1372"/>
      <c r="H2" s="1372"/>
      <c r="I2" s="981"/>
      <c r="S2" s="1197">
        <v>0</v>
      </c>
    </row>
    <row s="62148" customFormat="1" customHeight="1" ht="15" hidden="1">
      <c r="C3" s="1364"/>
      <c r="R3" s="1112"/>
      <c r="S3" s="1109">
        <v>0</v>
      </c>
    </row>
    <row customHeight="1" ht="15.75">
      <c r="C4" s="868"/>
      <c r="D4" s="1201"/>
      <c r="E4" s="1201"/>
      <c r="F4" s="1201"/>
      <c r="G4" s="1201"/>
      <c r="H4" s="1201"/>
      <c r="S4" s="1197">
        <v>15</v>
      </c>
    </row>
    <row customHeight="1" ht="39.75">
      <c r="C5" s="868"/>
      <c r="D5" s="292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929"/>
      <c r="F5" s="2929"/>
      <c r="G5" s="2929"/>
      <c r="H5" s="2929"/>
      <c r="I5" s="1229"/>
      <c r="S5" s="1197">
        <v>38</v>
      </c>
    </row>
    <row customHeight="1" ht="15.75">
      <c r="C6" s="868"/>
      <c r="D6" s="2868" t="str">
        <f>IF(org=0,"Не определено",org)</f>
        <v>АО "ДГК"</v>
      </c>
      <c r="E6" s="2868"/>
      <c r="F6" s="2868"/>
      <c r="G6" s="2868"/>
      <c r="H6" s="2868"/>
      <c r="I6" s="1229"/>
      <c r="S6" s="1197">
        <v>15</v>
      </c>
    </row>
    <row s="62286" customFormat="1" customHeight="1" ht="15.75">
      <c r="A7" s="1451"/>
      <c r="C7" s="868"/>
      <c r="D7" s="1368"/>
      <c r="E7" s="1368"/>
      <c r="F7" s="1368"/>
      <c r="G7" s="1368"/>
      <c r="H7" s="1444"/>
      <c r="I7" s="1229"/>
      <c r="R7" s="1367"/>
      <c r="S7" s="1450">
        <v>15</v>
      </c>
    </row>
    <row customHeight="1" ht="1.05">
      <c r="C8" s="868"/>
      <c r="D8" s="1201"/>
      <c r="E8" s="1201"/>
      <c r="F8" s="1201"/>
      <c r="G8" s="1201"/>
      <c r="H8" s="1229" t="s">
        <v>125</v>
      </c>
      <c r="S8" s="1197">
        <v>1</v>
      </c>
    </row>
    <row customHeight="1" ht="15.75">
      <c r="C9" s="868"/>
      <c r="D9" s="1403"/>
      <c r="E9" s="3059" t="s">
        <v>114</v>
      </c>
      <c r="F9" s="3060"/>
      <c r="G9" s="1508" t="str">
        <f>IF(G8="","",INDEX(DIFFERENTIATION_UNMERGE_VD,MATCH(G8,DIFFERENTIATION_ID_DIFF,0)))</f>
        <v/>
      </c>
      <c r="H9" s="1508">
        <f>IF(H8="","",INDEX(DIFFERENTIATION_UNMERGE_VD,MATCH(H8,DIFFERENTIATION_ID_DIFF,0)))</f>
        <v>0</v>
      </c>
      <c r="I9" s="2819" t="s">
        <v>376</v>
      </c>
      <c r="S9" s="1197">
        <v>15</v>
      </c>
    </row>
    <row s="62286" customFormat="1" customHeight="1" ht="15.75">
      <c r="A10" s="1451"/>
      <c r="C10" s="868"/>
      <c r="D10" s="1403"/>
      <c r="E10" s="3059" t="s">
        <v>638</v>
      </c>
      <c r="F10" s="3060"/>
      <c r="G10" s="1508" t="str">
        <f>IF(G8="","",INDEX(DIFFERENTIATION_UNMERGE_AREA,MATCH(G8,DIFFERENTIATION_ID_DIFF,0)))</f>
        <v/>
      </c>
      <c r="H10" s="1508" t="str">
        <f>IF(H8="","",INDEX(DIFFERENTIATION_UNMERGE_AREA,MATCH(H8,DIFFERENTIATION_ID_DIFF,0)))</f>
        <v/>
      </c>
      <c r="I10" s="2819"/>
      <c r="R10" s="1367"/>
      <c r="S10" s="1450">
        <v>15</v>
      </c>
    </row>
    <row s="62286" customFormat="1" customHeight="1" ht="15.75">
      <c r="A11" s="1451"/>
      <c r="C11" s="868"/>
      <c r="D11" s="1403"/>
      <c r="E11" s="3059" t="s">
        <v>639</v>
      </c>
      <c r="F11" s="3060"/>
      <c r="G11" s="1508" t="str">
        <f>IF(G8="","",INDEX(DIFFERENTIATION_UNMERGE_SYSTEM,MATCH(G8,DIFFERENTIATION_ID_DIFF,0)))</f>
        <v/>
      </c>
      <c r="H11" s="1508" t="str">
        <f>IF(H8="","",INDEX(DIFFERENTIATION_UNMERGE_SYSTEM,MATCH(H8,DIFFERENTIATION_ID_DIFF,0)))</f>
        <v>без дифференциации</v>
      </c>
      <c r="I11" s="2819"/>
      <c r="R11" s="1367"/>
      <c r="S11" s="1450">
        <v>15</v>
      </c>
    </row>
    <row s="62286" customFormat="1" customHeight="1" ht="15.75">
      <c r="A12" s="1451"/>
      <c r="C12" s="868"/>
      <c r="D12" s="3061" t="s">
        <v>375</v>
      </c>
      <c r="E12" s="3062"/>
      <c r="F12" s="3062"/>
      <c r="G12" s="1579"/>
      <c r="H12" s="1579"/>
      <c r="I12" s="2819"/>
      <c r="R12" s="1367"/>
      <c r="S12" s="1450">
        <v>15</v>
      </c>
    </row>
    <row customHeight="1" ht="35.699999999999996">
      <c r="C13" s="868"/>
      <c r="D13" s="1453" t="s">
        <v>89</v>
      </c>
      <c r="E13" s="1452" t="s">
        <v>377</v>
      </c>
      <c r="F13" s="1452" t="s">
        <v>640</v>
      </c>
      <c r="G13" s="1500" t="s">
        <v>378</v>
      </c>
      <c r="H13" s="1446" t="s">
        <v>378</v>
      </c>
      <c r="I13" s="2819"/>
      <c r="S13" s="1197">
        <v>34</v>
      </c>
    </row>
    <row customHeight="1" ht="15" hidden="1">
      <c r="C14" s="868"/>
      <c r="D14" s="1285" t="s">
        <v>118</v>
      </c>
      <c r="E14" s="1285" t="s">
        <v>103</v>
      </c>
      <c r="F14" s="1285" t="s">
        <v>91</v>
      </c>
      <c r="G14" s="1351" t="str">
        <f>G1&amp;".1"</f>
        <v>.1</v>
      </c>
      <c r="H14" s="1351" t="str">
        <f>H1&amp;".1"</f>
        <v>4.1</v>
      </c>
      <c r="I14" s="981"/>
      <c r="S14" s="1197">
        <v>0</v>
      </c>
    </row>
    <row customHeight="1" ht="15.75">
      <c r="A15" s="1197"/>
      <c r="C15" s="1218"/>
      <c r="D15" s="1213">
        <v>1</v>
      </c>
      <c r="E15" s="2622" t="str">
        <f>TP_P_A</f>
        <v>Количество поданных заявок</v>
      </c>
      <c r="F15" s="1213" t="s">
        <v>1188</v>
      </c>
      <c r="G15" s="1377"/>
      <c r="H15" s="1377"/>
      <c r="I15" s="90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1197">
        <v>15</v>
      </c>
    </row>
    <row customHeight="1" ht="15.75">
      <c r="A16" s="1197"/>
      <c r="C16" s="1218"/>
      <c r="D16" s="1213">
        <v>2</v>
      </c>
      <c r="E16" s="2622" t="str">
        <f>TP_P_B</f>
        <v>Количество рассмотренных заявок</v>
      </c>
      <c r="F16" s="1213" t="s">
        <v>1188</v>
      </c>
      <c r="G16" s="1377"/>
      <c r="H16" s="1377"/>
      <c r="I16" s="90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1197">
        <v>15</v>
      </c>
    </row>
    <row customHeight="1" ht="77.7">
      <c r="A17" s="1197"/>
      <c r="C17" s="1218"/>
      <c r="D17" s="1213">
        <v>3</v>
      </c>
      <c r="E17" s="262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213" t="s">
        <v>1188</v>
      </c>
      <c r="G17" s="1377"/>
      <c r="H17" s="1377"/>
      <c r="I17" s="900" t="str">
        <f>TP_P_NOTE_V</f>
        <v>Указывается количество заявок с решением об отказе в течение отчетного квартала.</v>
      </c>
      <c r="S17" s="1197">
        <v>74</v>
      </c>
    </row>
    <row customHeight="1" ht="54.75">
      <c r="A18" s="1197"/>
      <c r="C18" s="1218"/>
      <c r="D18" s="1213">
        <v>4</v>
      </c>
      <c r="E18" s="2622" t="str">
        <f>TP_P_V_1</f>
        <v>Причины отказа в заключении договора о подключении (технологическом присоединении) к системе теплоснабжения</v>
      </c>
      <c r="F18" s="1213" t="s">
        <v>381</v>
      </c>
      <c r="G18" s="1378"/>
      <c r="H18" s="1378"/>
      <c r="I18" s="153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1197">
        <v>52</v>
      </c>
    </row>
    <row customHeight="1" ht="60">
      <c r="A19" s="1197"/>
      <c r="C19" s="1218"/>
      <c r="D19" s="1213">
        <v>5</v>
      </c>
      <c r="E19" s="2622" t="str">
        <f>TP_P_G</f>
        <v>Резерв мощности источников тепловой энергии, входящих в систему теплоснабжения, в течение одного квартала, в том числе:</v>
      </c>
      <c r="F19" s="1213" t="str">
        <f>IF(TEMPLATE_SPHERE="HEAT","Гкал/час","тыс. куб. м/сутки")</f>
        <v>Гкал/час</v>
      </c>
      <c r="G19" s="1379">
        <f>SUM(G20:G22)</f>
        <v>0</v>
      </c>
      <c r="H19" s="1379">
        <f>SUM(H20:H22)</f>
        <v>0</v>
      </c>
      <c r="I19" s="900"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1197">
        <v>57</v>
      </c>
    </row>
    <row customHeight="1" ht="15" hidden="1">
      <c r="D20" s="1201" t="s">
        <v>1189</v>
      </c>
      <c r="E20" s="1380"/>
      <c r="F20" s="1201"/>
      <c r="G20" s="1201"/>
      <c r="H20" s="1201"/>
      <c r="I20" s="2455"/>
      <c r="S20" s="1197">
        <v>0</v>
      </c>
    </row>
    <row customHeight="1" ht="29.25">
      <c r="C21" s="1143"/>
      <c r="D21" s="1231" t="s">
        <v>388</v>
      </c>
      <c r="E21" s="1362"/>
      <c r="F21" s="2453" t="str">
        <f>IF(TEMPLATE_SPHERE="HEAT","Гкал/час","тыс. куб. м/сутки")</f>
        <v>Гкал/час</v>
      </c>
      <c r="G21" s="1372"/>
      <c r="H21" s="1372"/>
      <c r="I21" s="2861"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1197">
        <v>28</v>
      </c>
    </row>
    <row customHeight="1" ht="15.75">
      <c r="A22" s="1197"/>
      <c r="C22" s="1197"/>
      <c r="D22" s="1039"/>
      <c r="E22" s="1272" t="s">
        <v>1190</v>
      </c>
      <c r="F22" s="1264"/>
      <c r="G22" s="1264"/>
      <c r="H22" s="1264"/>
      <c r="I22" s="2863"/>
      <c r="R22" s="1197"/>
      <c r="S22" s="1197">
        <v>15</v>
      </c>
    </row>
    <row customHeight="1" ht="22.5" hidden="1">
      <c r="A23" s="1141" t="s">
        <v>83</v>
      </c>
      <c r="B23" s="1197">
        <v>0</v>
      </c>
      <c r="C23" s="1375">
        <v>4</v>
      </c>
      <c r="D23" s="1197">
        <v>6</v>
      </c>
      <c r="E23" s="1197">
        <v>36</v>
      </c>
      <c r="F23" s="1197">
        <v>9</v>
      </c>
      <c r="G23" s="1450">
        <v>0</v>
      </c>
      <c r="H23" s="1197">
        <v>40</v>
      </c>
      <c r="I23" s="1109">
        <v>93</v>
      </c>
      <c r="J23" s="1197">
        <v>10</v>
      </c>
      <c r="K23" s="1197">
        <v>10</v>
      </c>
      <c r="L23" s="1197">
        <v>10</v>
      </c>
      <c r="M23" s="1197">
        <v>10</v>
      </c>
      <c r="N23" s="1197">
        <v>10</v>
      </c>
      <c r="O23" s="1197">
        <v>10</v>
      </c>
      <c r="P23" s="1197">
        <v>10</v>
      </c>
      <c r="Q23" s="1197">
        <v>10</v>
      </c>
      <c r="R23" s="1367">
        <v>10</v>
      </c>
      <c r="S23" s="1197">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D13252-8A4C-D7D2-213C-F5D156C91BE8}"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63184" width="9.140625" hidden="1" customWidth="1"/>
    <col min="2" max="2" style="62148" width="9.140625" hidden="1" customWidth="1"/>
    <col min="3" max="3" style="62288" width="3.00390625" customWidth="1"/>
    <col min="4" max="4" style="62286" width="6.00390625" customWidth="1"/>
    <col min="5" max="6" style="62286" width="64.00390625" customWidth="1"/>
    <col min="7" max="7" style="62286" width="140.00390625" customWidth="1"/>
    <col min="8" max="8" style="62286" width="10.00390625" customWidth="1"/>
    <col min="9" max="10" style="62151" width="10.00390625" customWidth="1"/>
    <col min="11" max="16" style="62286" width="10.00390625" customWidth="1"/>
    <col min="17" max="17" style="62286" width="10.57421875" hidden="1"/>
  </cols>
  <sheetData>
    <row customHeight="1" ht="22.5" hidden="1">
      <c r="M1" s="947"/>
      <c r="N1" s="947"/>
      <c r="P1" s="947"/>
      <c r="Q1" s="775" t="s">
        <v>14</v>
      </c>
    </row>
    <row customHeight="1" ht="14.25" hidden="1">
      <c r="Q2" s="775">
        <v>0</v>
      </c>
    </row>
    <row customHeight="1" ht="14.25" hidden="1">
      <c r="Q3" s="775">
        <v>0</v>
      </c>
    </row>
    <row customHeight="1" ht="3">
      <c r="C4" s="788"/>
      <c r="D4" s="776"/>
      <c r="E4" s="776"/>
      <c r="F4" s="777"/>
      <c r="G4" s="777"/>
      <c r="Q4" s="775">
        <v>3</v>
      </c>
    </row>
    <row customHeight="1" ht="29.25">
      <c r="C5" s="788"/>
      <c r="D5" s="314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147"/>
      <c r="F5" s="3147"/>
      <c r="G5" s="3148"/>
      <c r="Q5" s="775">
        <v>28</v>
      </c>
    </row>
    <row s="62286" customFormat="1" customHeight="1" ht="18.75">
      <c r="A6" s="1574"/>
      <c r="B6" s="1109"/>
      <c r="C6" s="1068"/>
      <c r="D6" s="3149" t="str">
        <f>IF(org=0,"Не определено",org)</f>
        <v>АО "ДГК"</v>
      </c>
      <c r="E6" s="3150"/>
      <c r="F6" s="3150"/>
      <c r="G6" s="3151"/>
      <c r="I6" s="1192"/>
      <c r="J6" s="1192"/>
      <c r="Q6" s="1450">
        <v>18</v>
      </c>
    </row>
    <row customHeight="1" ht="14.699999999999998">
      <c r="C7" s="788"/>
      <c r="D7" s="776"/>
      <c r="E7" s="787"/>
      <c r="F7" s="1444"/>
      <c r="G7" s="885"/>
      <c r="Q7" s="775">
        <v>14</v>
      </c>
    </row>
    <row s="62286" customFormat="1" customHeight="1" ht="1.05">
      <c r="A8" s="2361"/>
      <c r="B8" s="1852"/>
      <c r="C8" s="1068"/>
      <c r="D8" s="1055"/>
      <c r="E8" s="1081"/>
      <c r="F8" s="1444"/>
      <c r="G8" s="885"/>
      <c r="I8" s="2316"/>
      <c r="J8" s="2316"/>
      <c r="Q8" s="2323">
        <v>1</v>
      </c>
    </row>
    <row customHeight="1" ht="14.699999999999998">
      <c r="C9" s="788"/>
      <c r="D9" s="2901" t="s">
        <v>375</v>
      </c>
      <c r="E9" s="2901"/>
      <c r="F9" s="2901"/>
      <c r="G9" s="3081" t="s">
        <v>376</v>
      </c>
      <c r="Q9" s="775">
        <v>14</v>
      </c>
    </row>
    <row customHeight="1" ht="24">
      <c r="C10" s="788"/>
      <c r="D10" s="797" t="s">
        <v>89</v>
      </c>
      <c r="E10" s="800" t="s">
        <v>377</v>
      </c>
      <c r="F10" s="800" t="s">
        <v>465</v>
      </c>
      <c r="G10" s="3081"/>
      <c r="Q10" s="775">
        <v>23</v>
      </c>
    </row>
    <row customHeight="1" ht="12" hidden="1">
      <c r="C11" s="788"/>
      <c r="D11" s="779"/>
      <c r="E11" s="779"/>
      <c r="F11" s="779"/>
      <c r="G11" s="779"/>
      <c r="Q11" s="775">
        <v>0</v>
      </c>
    </row>
    <row customHeight="1" ht="65.25">
      <c r="A12" s="884"/>
      <c r="C12" s="788"/>
      <c r="D12" s="839">
        <v>1</v>
      </c>
      <c r="E12" s="88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890" t="s">
        <v>381</v>
      </c>
      <c r="G12" s="843"/>
      <c r="Q12" s="775">
        <v>62</v>
      </c>
    </row>
    <row customHeight="1" ht="24">
      <c r="A13" s="884"/>
      <c r="C13" s="788"/>
      <c r="D13" s="839" t="s">
        <v>1095</v>
      </c>
      <c r="E13" s="88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890" t="s">
        <v>381</v>
      </c>
      <c r="G13" s="843"/>
      <c r="Q13" s="775">
        <v>23</v>
      </c>
    </row>
    <row customHeight="1" ht="14.699999999999998">
      <c r="A14" s="884"/>
      <c r="C14" s="788"/>
      <c r="D14" s="839" t="s">
        <v>1131</v>
      </c>
      <c r="E14" s="887"/>
      <c r="F14" s="905"/>
      <c r="G14" s="286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775">
        <v>14</v>
      </c>
    </row>
    <row customHeight="1" ht="15.75">
      <c r="A15" s="884"/>
      <c r="C15" s="788"/>
      <c r="D15" s="801"/>
      <c r="E15" s="1041" t="s">
        <v>1191</v>
      </c>
      <c r="F15" s="893"/>
      <c r="G15" s="2863"/>
      <c r="Q15" s="775">
        <v>15</v>
      </c>
    </row>
    <row customHeight="1" ht="14.699999999999998">
      <c r="A16" s="884"/>
      <c r="C16" s="788"/>
      <c r="D16" s="839" t="s">
        <v>1097</v>
      </c>
      <c r="E16" s="88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890" t="s">
        <v>381</v>
      </c>
      <c r="G16" s="1029"/>
      <c r="Q16" s="775">
        <v>14</v>
      </c>
    </row>
    <row customHeight="1" ht="14.699999999999998">
      <c r="A17" s="884"/>
      <c r="C17" s="788"/>
      <c r="D17" s="839" t="s">
        <v>1139</v>
      </c>
      <c r="E17" s="887"/>
      <c r="F17" s="1077"/>
      <c r="G17" s="286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775">
        <v>14</v>
      </c>
    </row>
    <row s="62286" customFormat="1" customHeight="1" ht="22.049999999999997">
      <c r="A18" s="1035"/>
      <c r="B18" s="838"/>
      <c r="C18" s="999"/>
      <c r="D18" s="1039"/>
      <c r="E18" s="1041" t="s">
        <v>1192</v>
      </c>
      <c r="F18" s="1030"/>
      <c r="G18" s="2863"/>
      <c r="I18" s="1042"/>
      <c r="J18" s="1042"/>
      <c r="Q18" s="1034">
        <v>21</v>
      </c>
    </row>
    <row s="62286" customFormat="1" customHeight="1" ht="256.5" hidden="1">
      <c r="A19" s="1035"/>
      <c r="B19" s="1109"/>
      <c r="C19" s="1068"/>
      <c r="D19" s="1576" t="s">
        <v>1099</v>
      </c>
      <c r="E19" s="1575" t="s">
        <v>1193</v>
      </c>
      <c r="F19" s="1077"/>
      <c r="G19" s="1029" t="s">
        <v>1194</v>
      </c>
      <c r="I19" s="1192"/>
      <c r="J19" s="1192"/>
      <c r="Q19" s="1450">
        <v>0</v>
      </c>
    </row>
    <row s="62286" customFormat="1" customHeight="1" ht="14.699999999999998">
      <c r="A20" s="1035"/>
      <c r="B20" s="838"/>
      <c r="C20" s="999"/>
      <c r="D20" s="1577">
        <v>2</v>
      </c>
      <c r="E20" s="1022" t="s">
        <v>1195</v>
      </c>
      <c r="F20" s="890" t="s">
        <v>381</v>
      </c>
      <c r="G20" s="1029"/>
      <c r="I20" s="1042"/>
      <c r="J20" s="1042"/>
      <c r="Q20" s="1034">
        <v>14</v>
      </c>
    </row>
    <row s="62286" customFormat="1" customHeight="1" ht="18.75" hidden="1">
      <c r="A21" s="1035"/>
      <c r="B21" s="838"/>
      <c r="C21" s="999"/>
      <c r="D21" s="1025" t="s">
        <v>710</v>
      </c>
      <c r="E21" s="1024"/>
      <c r="F21" s="1023"/>
      <c r="G21" s="1033"/>
      <c r="H21" s="1026"/>
      <c r="I21" s="1042"/>
      <c r="J21" s="1042"/>
      <c r="Q21" s="1034">
        <v>0</v>
      </c>
    </row>
    <row customHeight="1" ht="15.75">
      <c r="A22" s="884"/>
      <c r="C22" s="788"/>
      <c r="D22" s="801"/>
      <c r="E22" s="895" t="s">
        <v>397</v>
      </c>
      <c r="F22" s="1030"/>
      <c r="G22" s="1031"/>
      <c r="Q22" s="775">
        <v>15</v>
      </c>
    </row>
    <row s="62286" customFormat="1" customHeight="1" ht="22.5" hidden="1">
      <c r="A23" s="1035"/>
      <c r="B23" s="1852"/>
      <c r="C23" s="1068"/>
      <c r="D23" s="2365" t="s">
        <v>103</v>
      </c>
      <c r="E23" s="889" t="s">
        <v>1196</v>
      </c>
      <c r="F23" s="2362" t="s">
        <v>381</v>
      </c>
      <c r="G23" s="1037"/>
      <c r="I23" s="2316"/>
      <c r="J23" s="2316"/>
      <c r="Q23" s="2323">
        <v>0</v>
      </c>
    </row>
    <row s="62286" customFormat="1" customHeight="1" ht="14.25" hidden="1">
      <c r="A24" s="1035"/>
      <c r="B24" s="1852"/>
      <c r="C24" s="1068"/>
      <c r="D24" s="2365" t="s">
        <v>782</v>
      </c>
      <c r="E24" s="2364" t="s">
        <v>1197</v>
      </c>
      <c r="F24" s="2362" t="s">
        <v>381</v>
      </c>
      <c r="G24" s="1029"/>
      <c r="I24" s="2316"/>
      <c r="J24" s="2316"/>
      <c r="Q24" s="2323">
        <v>0</v>
      </c>
    </row>
    <row s="62286" customFormat="1" customHeight="1" ht="14.25" hidden="1">
      <c r="A25" s="1035"/>
      <c r="B25" s="1852"/>
      <c r="C25" s="1068"/>
      <c r="D25" s="2365" t="s">
        <v>785</v>
      </c>
      <c r="E25" s="887"/>
      <c r="F25" s="1077"/>
      <c r="G25" s="2861" t="s">
        <v>1198</v>
      </c>
      <c r="I25" s="2316"/>
      <c r="J25" s="2316"/>
      <c r="Q25" s="2323">
        <v>0</v>
      </c>
    </row>
    <row s="62286" customFormat="1" customHeight="1" ht="22.5" hidden="1">
      <c r="A26" s="1035"/>
      <c r="B26" s="1852"/>
      <c r="C26" s="1068"/>
      <c r="D26" s="1039"/>
      <c r="E26" s="1041" t="s">
        <v>1199</v>
      </c>
      <c r="F26" s="1030"/>
      <c r="G26" s="2863"/>
      <c r="I26" s="2316"/>
      <c r="J26" s="2316"/>
      <c r="Q26" s="2323">
        <v>0</v>
      </c>
    </row>
    <row customHeight="1" ht="3">
      <c r="Q27" s="775">
        <v>3</v>
      </c>
    </row>
    <row customHeight="1" ht="14.699999999999998">
      <c r="D28" s="1028"/>
      <c r="E28" s="1027"/>
      <c r="F28" s="1007"/>
      <c r="G28" s="1007"/>
      <c r="H28" s="1007"/>
      <c r="I28" s="1007"/>
      <c r="J28" s="1007"/>
      <c r="K28" s="1007"/>
      <c r="L28" s="1007"/>
      <c r="M28" s="1007"/>
      <c r="N28" s="1007"/>
      <c r="O28" s="1007"/>
      <c r="P28" s="1007"/>
      <c r="Q28" s="775">
        <v>14</v>
      </c>
    </row>
    <row customHeight="1" ht="14.699999999999998">
      <c r="D29" s="1028"/>
      <c r="E29" s="1274"/>
      <c r="Q29" s="775">
        <v>14</v>
      </c>
    </row>
    <row customHeight="1" ht="14.699999999999998">
      <c r="Q30" s="775">
        <v>14</v>
      </c>
    </row>
    <row customHeight="1" ht="14.699999999999998">
      <c r="E31" s="1450"/>
      <c r="Q31" s="775">
        <v>14</v>
      </c>
    </row>
    <row customHeight="1" ht="22.5" hidden="1">
      <c r="A32" s="793" t="s">
        <v>83</v>
      </c>
      <c r="B32" s="838">
        <v>0</v>
      </c>
      <c r="C32" s="789">
        <v>3</v>
      </c>
      <c r="D32" s="775">
        <v>6</v>
      </c>
      <c r="E32" s="775">
        <v>64</v>
      </c>
      <c r="F32" s="775">
        <v>64</v>
      </c>
      <c r="G32" s="775">
        <v>140</v>
      </c>
      <c r="H32" s="775">
        <v>10</v>
      </c>
      <c r="I32" s="847">
        <v>10</v>
      </c>
      <c r="J32" s="847">
        <v>10</v>
      </c>
      <c r="K32" s="775">
        <v>10</v>
      </c>
      <c r="L32" s="775">
        <v>10</v>
      </c>
      <c r="M32" s="775">
        <v>10</v>
      </c>
      <c r="N32" s="775">
        <v>10</v>
      </c>
      <c r="O32" s="775">
        <v>10</v>
      </c>
      <c r="P32" s="775">
        <v>10</v>
      </c>
      <c r="Q32" s="775">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4ABFB7-A98C-D2C8-38F4-D179E82AE5CD}"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61371" width="9.140625" hidden="1" customWidth="1"/>
    <col min="2" max="2" style="62148" width="9.140625" hidden="1" customWidth="1"/>
    <col min="3" max="3" style="62288" width="3.00390625" customWidth="1"/>
    <col min="4" max="4" style="62286" width="6.00390625" customWidth="1"/>
    <col min="5" max="5" style="62286" width="63.00390625" customWidth="1"/>
    <col min="6" max="6" style="62286" width="1.7109375" hidden="1" customWidth="1"/>
    <col min="7" max="8" style="62286" width="35.00390625" customWidth="1"/>
    <col min="9" max="9" style="62286" width="91.00390625" customWidth="1"/>
    <col min="10" max="10" style="62286" width="68.00390625" customWidth="1"/>
    <col min="11" max="12" style="62151" width="10.00390625" customWidth="1"/>
    <col min="13" max="13" style="62286" width="10.57421875" hidden="1"/>
  </cols>
  <sheetData>
    <row customHeight="1" ht="22.5" hidden="1">
      <c r="M1" s="775" t="s">
        <v>14</v>
      </c>
    </row>
    <row s="62286" customFormat="1" customHeight="1" ht="18.75" hidden="1">
      <c r="A2" s="2375"/>
      <c r="B2" s="1852"/>
      <c r="C2" s="2422" t="s">
        <v>104</v>
      </c>
      <c r="D2" s="2365"/>
      <c r="E2" s="891"/>
      <c r="F2" s="2362"/>
      <c r="G2" s="2362" t="s">
        <v>381</v>
      </c>
      <c r="H2" s="1853"/>
      <c r="K2" s="2316"/>
      <c r="L2" s="2316"/>
      <c r="M2" s="2323">
        <v>0</v>
      </c>
    </row>
    <row s="62286" customFormat="1" customHeight="1" ht="14.25" hidden="1">
      <c r="A3" s="2054"/>
      <c r="B3" s="1852"/>
      <c r="C3" s="1036"/>
      <c r="K3" s="2316"/>
      <c r="L3" s="2316"/>
      <c r="M3" s="2323">
        <v>0</v>
      </c>
    </row>
    <row s="62286" customFormat="1" customHeight="1" ht="18.75" hidden="1">
      <c r="A4" s="2375"/>
      <c r="B4" s="1852"/>
      <c r="C4" s="2422" t="s">
        <v>104</v>
      </c>
      <c r="D4" s="2365"/>
      <c r="E4" s="897" t="s">
        <v>1200</v>
      </c>
      <c r="F4" s="2362"/>
      <c r="G4" s="949"/>
      <c r="H4" s="2362" t="s">
        <v>381</v>
      </c>
      <c r="K4" s="2316"/>
      <c r="L4" s="2316"/>
      <c r="M4" s="2323">
        <v>0</v>
      </c>
    </row>
    <row s="62286" customFormat="1" customHeight="1" ht="14.25" hidden="1">
      <c r="A5" s="2054"/>
      <c r="B5" s="1852"/>
      <c r="C5" s="1036"/>
      <c r="K5" s="2316"/>
      <c r="L5" s="2316"/>
      <c r="M5" s="2323">
        <v>0</v>
      </c>
    </row>
    <row s="62286" customFormat="1" customHeight="1" ht="18.75" hidden="1">
      <c r="A6" s="2375"/>
      <c r="B6" s="1852"/>
      <c r="C6" s="2422" t="s">
        <v>104</v>
      </c>
      <c r="D6" s="2365"/>
      <c r="E6" s="898" t="s">
        <v>1201</v>
      </c>
      <c r="F6" s="2362"/>
      <c r="G6" s="949"/>
      <c r="H6" s="2362" t="s">
        <v>381</v>
      </c>
      <c r="K6" s="2316"/>
      <c r="L6" s="2316"/>
      <c r="M6" s="2323">
        <v>0</v>
      </c>
    </row>
    <row s="62286" customFormat="1" customHeight="1" ht="14.25" hidden="1">
      <c r="A7" s="2054"/>
      <c r="B7" s="1852"/>
      <c r="C7" s="1036"/>
      <c r="K7" s="2316"/>
      <c r="L7" s="2316"/>
      <c r="M7" s="2323">
        <v>0</v>
      </c>
    </row>
    <row s="62286" customFormat="1" customHeight="1" ht="18.75" hidden="1">
      <c r="A8" s="2375"/>
      <c r="B8" s="1852"/>
      <c r="C8" s="2422" t="s">
        <v>104</v>
      </c>
      <c r="D8" s="2365"/>
      <c r="E8" s="898" t="s">
        <v>1202</v>
      </c>
      <c r="F8" s="2362"/>
      <c r="G8" s="949"/>
      <c r="H8" s="2362" t="s">
        <v>381</v>
      </c>
      <c r="K8" s="2316"/>
      <c r="L8" s="2316"/>
      <c r="M8" s="2323">
        <v>0</v>
      </c>
    </row>
    <row s="62286" customFormat="1" customHeight="1" ht="14.25" hidden="1">
      <c r="A9" s="2054"/>
      <c r="B9" s="1852"/>
      <c r="C9" s="1036"/>
      <c r="K9" s="2316"/>
      <c r="L9" s="2316"/>
      <c r="M9" s="2323">
        <v>0</v>
      </c>
    </row>
    <row s="62286" customFormat="1" customHeight="1" ht="18.75" hidden="1">
      <c r="A10" s="2375"/>
      <c r="B10" s="1852"/>
      <c r="C10" s="2422" t="s">
        <v>104</v>
      </c>
      <c r="D10" s="2365"/>
      <c r="E10" s="898" t="s">
        <v>1203</v>
      </c>
      <c r="F10" s="2362"/>
      <c r="G10" s="2366"/>
      <c r="H10" s="2362" t="s">
        <v>381</v>
      </c>
      <c r="K10" s="2316"/>
      <c r="L10" s="2316" t="s">
        <v>1204</v>
      </c>
      <c r="M10" s="2323">
        <v>0</v>
      </c>
    </row>
    <row customHeight="1" ht="14.25" hidden="1">
      <c r="M11" s="775">
        <v>0</v>
      </c>
    </row>
    <row customHeight="1" ht="14.25" hidden="1">
      <c r="M12" s="775">
        <v>0</v>
      </c>
    </row>
    <row customHeight="1" ht="14.699999999999998">
      <c r="C13" s="788"/>
      <c r="D13" s="776"/>
      <c r="E13" s="776"/>
      <c r="F13" s="776"/>
      <c r="G13" s="776"/>
      <c r="H13" s="777"/>
      <c r="I13" s="777"/>
      <c r="M13" s="775">
        <v>14</v>
      </c>
    </row>
    <row customHeight="1" ht="29.25">
      <c r="C14" s="788"/>
      <c r="D14" s="314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147"/>
      <c r="F14" s="3147"/>
      <c r="G14" s="3147"/>
      <c r="H14" s="3148"/>
      <c r="J14" s="2323"/>
      <c r="M14" s="775">
        <v>28</v>
      </c>
    </row>
    <row s="62286" customFormat="1" customHeight="1" ht="14.699999999999998">
      <c r="A15" s="2054"/>
      <c r="B15" s="1852"/>
      <c r="C15" s="1068"/>
      <c r="D15" s="3149" t="str">
        <f>IF(org=0,"Не определено",org)</f>
        <v>АО "ДГК"</v>
      </c>
      <c r="E15" s="3150"/>
      <c r="F15" s="3150"/>
      <c r="G15" s="3150"/>
      <c r="H15" s="3151"/>
      <c r="J15" s="1544"/>
      <c r="K15" s="2316"/>
      <c r="L15" s="2316"/>
      <c r="M15" s="2323">
        <v>14</v>
      </c>
    </row>
    <row customHeight="1" ht="14.699999999999998">
      <c r="C16" s="788"/>
      <c r="D16" s="776"/>
      <c r="E16" s="787"/>
      <c r="F16" s="787"/>
      <c r="G16" s="787"/>
      <c r="H16" s="1444"/>
      <c r="I16" s="885"/>
      <c r="M16" s="775">
        <v>14</v>
      </c>
    </row>
    <row s="62286" customFormat="1" customHeight="1" ht="14.25" hidden="1">
      <c r="A17" s="2054"/>
      <c r="B17" s="1852"/>
      <c r="C17" s="1068"/>
      <c r="D17" s="1055"/>
      <c r="E17" s="1081"/>
      <c r="F17" s="1081"/>
      <c r="G17" s="1081"/>
      <c r="H17" s="1444"/>
      <c r="I17" s="885"/>
      <c r="K17" s="2316"/>
      <c r="L17" s="2316"/>
      <c r="M17" s="2323">
        <v>0</v>
      </c>
    </row>
    <row customHeight="1" ht="22.049999999999997">
      <c r="C18" s="788"/>
      <c r="D18" s="2901" t="s">
        <v>375</v>
      </c>
      <c r="E18" s="2901"/>
      <c r="F18" s="2901"/>
      <c r="G18" s="2901"/>
      <c r="H18" s="2901"/>
      <c r="I18" s="3081" t="s">
        <v>376</v>
      </c>
      <c r="M18" s="775">
        <v>21</v>
      </c>
    </row>
    <row customHeight="1" ht="22.049999999999997">
      <c r="C19" s="788"/>
      <c r="D19" s="797" t="s">
        <v>89</v>
      </c>
      <c r="E19" s="800" t="s">
        <v>377</v>
      </c>
      <c r="F19" s="800"/>
      <c r="G19" s="800" t="s">
        <v>378</v>
      </c>
      <c r="H19" s="800" t="s">
        <v>465</v>
      </c>
      <c r="I19" s="3081"/>
      <c r="M19" s="775">
        <v>21</v>
      </c>
    </row>
    <row customHeight="1" ht="12" hidden="1">
      <c r="C20" s="788"/>
      <c r="D20" s="779"/>
      <c r="E20" s="779"/>
      <c r="F20" s="779"/>
      <c r="G20" s="779"/>
      <c r="H20" s="779"/>
      <c r="I20" s="779"/>
      <c r="M20" s="775">
        <v>0</v>
      </c>
    </row>
    <row customHeight="1" ht="14.699999999999998">
      <c r="A21" s="2375"/>
      <c r="C21" s="788"/>
      <c r="D21" s="839">
        <v>1</v>
      </c>
      <c r="E21" s="3153" t="s">
        <v>1205</v>
      </c>
      <c r="F21" s="3153"/>
      <c r="G21" s="3153"/>
      <c r="H21" s="3153"/>
      <c r="I21" s="900"/>
      <c r="M21" s="775">
        <v>14</v>
      </c>
    </row>
    <row customHeight="1" ht="21">
      <c r="A22" s="2375"/>
      <c r="C22" s="788"/>
      <c r="D22" s="839" t="s">
        <v>1095</v>
      </c>
      <c r="E22" s="886" t="s">
        <v>1206</v>
      </c>
      <c r="F22" s="890"/>
      <c r="G22" s="2429"/>
      <c r="H22" s="890" t="s">
        <v>381</v>
      </c>
      <c r="I22" s="843" t="s">
        <v>1207</v>
      </c>
      <c r="M22" s="775">
        <v>20</v>
      </c>
    </row>
    <row customHeight="1" ht="60">
      <c r="A23" s="2375"/>
      <c r="C23" s="788"/>
      <c r="D23" s="839" t="s">
        <v>1097</v>
      </c>
      <c r="E23" s="886" t="s">
        <v>1208</v>
      </c>
      <c r="F23" s="890"/>
      <c r="G23" s="949"/>
      <c r="H23" s="905"/>
      <c r="I23" s="950" t="s">
        <v>1209</v>
      </c>
      <c r="M23" s="775">
        <v>57</v>
      </c>
    </row>
    <row customHeight="1" ht="14.699999999999998">
      <c r="A24" s="2375"/>
      <c r="B24" s="838">
        <v>3</v>
      </c>
      <c r="C24" s="788"/>
      <c r="D24" s="839">
        <v>2</v>
      </c>
      <c r="E24" s="91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890"/>
      <c r="G24" s="890" t="s">
        <v>381</v>
      </c>
      <c r="H24" s="905"/>
      <c r="I24" s="951" t="s">
        <v>705</v>
      </c>
      <c r="M24" s="775">
        <v>14</v>
      </c>
    </row>
    <row customHeight="1" ht="48.29999999999999">
      <c r="A25" s="2375"/>
      <c r="C25" s="788"/>
      <c r="D25" s="839">
        <v>3</v>
      </c>
      <c r="E25" s="315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152"/>
      <c r="G25" s="3152"/>
      <c r="H25" s="3152"/>
      <c r="I25" s="948"/>
      <c r="M25" s="775">
        <v>46</v>
      </c>
    </row>
    <row customHeight="1" ht="14.699999999999998">
      <c r="A26" s="2375"/>
      <c r="C26" s="788"/>
      <c r="D26" s="839" t="s">
        <v>399</v>
      </c>
      <c r="E26" s="891"/>
      <c r="F26" s="890"/>
      <c r="G26" s="890" t="s">
        <v>381</v>
      </c>
      <c r="H26" s="905"/>
      <c r="I26" s="2861" t="s">
        <v>1210</v>
      </c>
      <c r="M26" s="775">
        <v>14</v>
      </c>
    </row>
    <row customHeight="1" ht="15.75">
      <c r="A27" s="2375" t="s">
        <v>118</v>
      </c>
      <c r="C27" s="788"/>
      <c r="D27" s="801"/>
      <c r="E27" s="895" t="s">
        <v>397</v>
      </c>
      <c r="F27" s="896"/>
      <c r="G27" s="896"/>
      <c r="H27" s="893"/>
      <c r="I27" s="2863"/>
      <c r="M27" s="775">
        <v>15</v>
      </c>
    </row>
    <row customHeight="1" ht="39.75">
      <c r="A28" s="2375"/>
      <c r="B28" s="838">
        <v>3</v>
      </c>
      <c r="C28" s="788"/>
      <c r="D28" s="839">
        <v>4</v>
      </c>
      <c r="E28" s="315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152"/>
      <c r="G28" s="3152"/>
      <c r="H28" s="3152"/>
      <c r="I28" s="948"/>
      <c r="M28" s="775">
        <v>38</v>
      </c>
    </row>
    <row customHeight="1" ht="21">
      <c r="A29" s="2375"/>
      <c r="C29" s="788"/>
      <c r="D29" s="839" t="s">
        <v>827</v>
      </c>
      <c r="E29" s="897" t="s">
        <v>1200</v>
      </c>
      <c r="F29" s="890"/>
      <c r="G29" s="949"/>
      <c r="H29" s="890" t="s">
        <v>381</v>
      </c>
      <c r="I29" s="2861" t="s">
        <v>1211</v>
      </c>
      <c r="M29" s="775">
        <v>20</v>
      </c>
    </row>
    <row customHeight="1" ht="15.75">
      <c r="A30" s="2375" t="s">
        <v>103</v>
      </c>
      <c r="C30" s="788"/>
      <c r="D30" s="801"/>
      <c r="E30" s="895" t="s">
        <v>397</v>
      </c>
      <c r="F30" s="896"/>
      <c r="G30" s="896"/>
      <c r="H30" s="893"/>
      <c r="I30" s="2863"/>
      <c r="M30" s="775">
        <v>15</v>
      </c>
    </row>
    <row customHeight="1" ht="31.5">
      <c r="A31" s="2375"/>
      <c r="B31" s="838">
        <v>3</v>
      </c>
      <c r="C31" s="788"/>
      <c r="D31" s="839">
        <v>5</v>
      </c>
      <c r="E31" s="315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152"/>
      <c r="G31" s="3152"/>
      <c r="H31" s="3152"/>
      <c r="I31" s="948"/>
      <c r="M31" s="775">
        <v>30</v>
      </c>
    </row>
    <row customHeight="1" ht="27.299999999999997">
      <c r="A32" s="2375"/>
      <c r="C32" s="788"/>
      <c r="D32" s="839" t="s">
        <v>388</v>
      </c>
      <c r="E32" s="309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095"/>
      <c r="G32" s="3095"/>
      <c r="H32" s="3095"/>
      <c r="I32" s="948"/>
      <c r="M32" s="775">
        <v>26</v>
      </c>
    </row>
    <row customHeight="1" ht="14.699999999999998">
      <c r="A33" s="2375"/>
      <c r="C33" s="788"/>
      <c r="D33" s="839" t="s">
        <v>1212</v>
      </c>
      <c r="E33" s="898" t="s">
        <v>1201</v>
      </c>
      <c r="F33" s="890"/>
      <c r="G33" s="949"/>
      <c r="H33" s="890" t="s">
        <v>381</v>
      </c>
      <c r="I33" s="2861" t="s">
        <v>1213</v>
      </c>
      <c r="M33" s="775">
        <v>14</v>
      </c>
    </row>
    <row customHeight="1" ht="15.75">
      <c r="A34" s="2375" t="s">
        <v>91</v>
      </c>
      <c r="C34" s="788"/>
      <c r="D34" s="801"/>
      <c r="E34" s="896" t="s">
        <v>397</v>
      </c>
      <c r="F34" s="892"/>
      <c r="G34" s="892"/>
      <c r="H34" s="893"/>
      <c r="I34" s="2863"/>
      <c r="M34" s="775">
        <v>15</v>
      </c>
    </row>
    <row customHeight="1" ht="25.2">
      <c r="A35" s="2375"/>
      <c r="C35" s="788"/>
      <c r="D35" s="839" t="s">
        <v>955</v>
      </c>
      <c r="E35" s="309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095"/>
      <c r="G35" s="3095"/>
      <c r="H35" s="3095"/>
      <c r="I35" s="948"/>
      <c r="M35" s="775">
        <v>24</v>
      </c>
    </row>
    <row customHeight="1" ht="14.699999999999998">
      <c r="A36" s="2375"/>
      <c r="C36" s="788"/>
      <c r="D36" s="839" t="s">
        <v>1214</v>
      </c>
      <c r="E36" s="898" t="s">
        <v>1202</v>
      </c>
      <c r="F36" s="890"/>
      <c r="G36" s="949"/>
      <c r="H36" s="890" t="s">
        <v>381</v>
      </c>
      <c r="I36" s="2835" t="s">
        <v>1215</v>
      </c>
      <c r="M36" s="775">
        <v>14</v>
      </c>
    </row>
    <row customHeight="1" ht="15.75">
      <c r="A37" s="2375" t="s">
        <v>92</v>
      </c>
      <c r="C37" s="788"/>
      <c r="D37" s="801"/>
      <c r="E37" s="896" t="s">
        <v>397</v>
      </c>
      <c r="F37" s="892"/>
      <c r="G37" s="892"/>
      <c r="H37" s="893"/>
      <c r="I37" s="2835"/>
      <c r="M37" s="775">
        <v>15</v>
      </c>
    </row>
    <row customHeight="1" ht="27.299999999999997">
      <c r="A38" s="2375"/>
      <c r="C38" s="788"/>
      <c r="D38" s="839" t="s">
        <v>956</v>
      </c>
      <c r="E38" s="309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095"/>
      <c r="G38" s="3095"/>
      <c r="H38" s="3095"/>
      <c r="I38" s="948"/>
      <c r="M38" s="775">
        <v>26</v>
      </c>
    </row>
    <row customHeight="1" ht="14.699999999999998">
      <c r="A39" s="2375"/>
      <c r="C39" s="788"/>
      <c r="D39" s="839" t="s">
        <v>957</v>
      </c>
      <c r="E39" s="898" t="s">
        <v>1203</v>
      </c>
      <c r="F39" s="890"/>
      <c r="G39" s="899"/>
      <c r="H39" s="890" t="s">
        <v>381</v>
      </c>
      <c r="I39" s="2861" t="s">
        <v>1216</v>
      </c>
      <c r="L39" s="847" t="s">
        <v>1204</v>
      </c>
      <c r="M39" s="775">
        <v>14</v>
      </c>
    </row>
    <row customHeight="1" ht="15.75">
      <c r="A40" s="2375" t="s">
        <v>119</v>
      </c>
      <c r="C40" s="788"/>
      <c r="D40" s="801"/>
      <c r="E40" s="896" t="s">
        <v>397</v>
      </c>
      <c r="F40" s="892"/>
      <c r="G40" s="892"/>
      <c r="H40" s="893"/>
      <c r="I40" s="2863"/>
      <c r="M40" s="775">
        <v>15</v>
      </c>
    </row>
    <row s="62977" customFormat="1" customHeight="1" ht="3">
      <c r="A41" s="2375"/>
      <c r="K41" s="888"/>
      <c r="L41" s="888"/>
      <c r="M41" s="832">
        <v>3</v>
      </c>
    </row>
    <row customHeight="1" ht="26.25">
      <c r="D42" s="2373" t="s">
        <v>877</v>
      </c>
      <c r="E42" s="29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977"/>
      <c r="G42" s="2977"/>
      <c r="H42" s="2977"/>
      <c r="I42" s="2977"/>
      <c r="M42" s="775">
        <v>25</v>
      </c>
    </row>
    <row customHeight="1" ht="22.5" hidden="1">
      <c r="A43" s="2054" t="s">
        <v>83</v>
      </c>
      <c r="B43" s="838">
        <v>0</v>
      </c>
      <c r="C43" s="789">
        <v>3</v>
      </c>
      <c r="D43" s="775">
        <v>6</v>
      </c>
      <c r="E43" s="775">
        <v>63</v>
      </c>
      <c r="F43" s="775">
        <v>0</v>
      </c>
      <c r="G43" s="775">
        <v>35</v>
      </c>
      <c r="H43" s="775">
        <v>35</v>
      </c>
      <c r="I43" s="775">
        <v>91</v>
      </c>
      <c r="J43" s="775">
        <v>68</v>
      </c>
      <c r="K43" s="847">
        <v>10</v>
      </c>
      <c r="L43" s="847">
        <v>10</v>
      </c>
      <c r="M43" s="775">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E56405-43D7-16B9-4224-68AD97FB2DFA}" mc:Ignorable="x14ac xr xr2 xr3">
  <sheetPr>
    <tabColor theme="6" tint="0.4"/>
  </sheetPr>
  <dimension ref="A1:AH622"/>
  <sheetViews>
    <sheetView showGridLines="0" zoomScale="90" workbookViewId="0">
      <pane xSplit="7" ySplit="21" topLeftCell="H533" activePane="bottomRight" state="frozen"/>
      <selection pane="bottomLeft" activeCell="A22" sqref="A22"/>
      <selection pane="topRight" activeCell="H1" sqref="H1"/>
      <selection pane="bottomRight" activeCell="K549" sqref="K549"/>
    </sheetView>
  </sheetViews>
  <sheetFormatPr defaultColWidth="10.57421875" customHeight="1" defaultRowHeight="14.25"/>
  <cols>
    <col min="1" max="2" style="62534" width="25.140625" hidden="1" customWidth="1"/>
    <col min="3" max="3" style="62535" width="9.140625" hidden="1" customWidth="1"/>
    <col min="4" max="4" style="62288" width="3.00390625" customWidth="1"/>
    <col min="5" max="5" style="62286" width="6.00390625" customWidth="1"/>
    <col min="6" max="6" style="62286" width="46.00390625" customWidth="1"/>
    <col min="7" max="7" style="62286" width="35.00390625" customWidth="1"/>
    <col min="8" max="8" style="62286" width="3.00390625" customWidth="1"/>
    <col min="9" max="9" style="62286" width="14.57421875" customWidth="1"/>
    <col min="10" max="10" style="62286" width="11.00390625" customWidth="1"/>
    <col min="11" max="12" style="62286" width="35.00390625" customWidth="1"/>
    <col min="13" max="13" style="62286" width="84.00390625" customWidth="1"/>
    <col min="14" max="14" style="62286" width="10.00390625" customWidth="1"/>
    <col min="15" max="16" style="62151" width="10.00390625" customWidth="1"/>
    <col min="17" max="33" style="62286" width="10.00390625" customWidth="1"/>
    <col min="34" max="34" style="62286" width="10.57421875" hidden="1"/>
  </cols>
  <sheetData>
    <row s="62286" customFormat="1" customHeight="1" ht="22.5" hidden="1">
      <c r="A1" s="2471"/>
      <c r="B1" s="2471"/>
      <c r="C1" s="1061"/>
      <c r="D1" s="1036"/>
      <c r="N1" s="2328">
        <f>_xlfn.IFERROR(MATCH("метод экономически обоснованных расходов (затрат)",OFFER_METHOD,0),0)</f>
        <v>0</v>
      </c>
      <c r="O1" s="2316"/>
      <c r="P1" s="2316"/>
      <c r="T1" s="1523"/>
      <c r="AG1" s="947"/>
      <c r="AH1" s="2323" t="s">
        <v>14</v>
      </c>
    </row>
    <row s="62286" customFormat="1" customHeight="1" ht="18.75" hidden="1">
      <c r="A2" s="2472" t="s">
        <v>166</v>
      </c>
      <c r="B2" s="2472" t="s">
        <v>167</v>
      </c>
      <c r="C2" s="1061"/>
      <c r="D2" s="1036"/>
      <c r="E2" s="1723"/>
      <c r="F2" s="1723"/>
      <c r="G2" s="3119" t="str">
        <f>INDEX(PT_DIFFERENTIATION_NTAR,MATCH(B2,PT_DIFFERENTIATION_NTAR_ID,0))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2" s="2556"/>
      <c r="I2" s="2431"/>
      <c r="J2" s="2465"/>
      <c r="K2" s="2557"/>
      <c r="L2" s="2556" t="s">
        <v>381</v>
      </c>
      <c r="M2" s="2567"/>
      <c r="N2" s="1026"/>
      <c r="O2" s="2316"/>
      <c r="P2" s="2316"/>
      <c r="AH2" s="2323">
        <v>0</v>
      </c>
    </row>
    <row s="62286" customFormat="1" customHeight="1" ht="18.75" hidden="1">
      <c r="A3" s="2472"/>
      <c r="B3" s="2472"/>
      <c r="C3" s="1061" t="s">
        <v>1217</v>
      </c>
      <c r="D3" s="1036"/>
      <c r="E3" s="1723"/>
      <c r="F3" s="1723"/>
      <c r="G3" s="3119"/>
      <c r="H3" s="2192"/>
      <c r="I3" s="1343" t="s">
        <v>1218</v>
      </c>
      <c r="J3" s="1263"/>
      <c r="K3" s="2192"/>
      <c r="L3" s="906"/>
      <c r="M3" s="2567"/>
      <c r="N3" s="1026"/>
      <c r="O3" s="2316"/>
      <c r="P3" s="2316"/>
      <c r="AH3" s="2323">
        <v>0</v>
      </c>
    </row>
    <row s="62286" customFormat="1" customHeight="1" ht="14.25" hidden="1">
      <c r="A4" s="2471"/>
      <c r="B4" s="2471"/>
      <c r="C4" s="1061"/>
      <c r="D4" s="1036"/>
      <c r="N4" s="2328">
        <f>_xlfn.IFERROR(MATCH("метод экономически обоснованных расходов (затрат)",OFFER_METHOD,0),0)</f>
        <v>0</v>
      </c>
      <c r="O4" s="2316"/>
      <c r="P4" s="2316"/>
      <c r="T4" s="1523"/>
      <c r="AG4" s="947"/>
      <c r="AH4" s="2323">
        <v>0</v>
      </c>
    </row>
    <row s="62286" customFormat="1" customHeight="1" ht="18.75" hidden="1">
      <c r="A5" s="2472" t="s">
        <v>166</v>
      </c>
      <c r="B5" s="2472" t="s">
        <v>167</v>
      </c>
      <c r="C5" s="1061"/>
      <c r="D5" s="1036"/>
      <c r="E5" s="1723"/>
      <c r="F5" s="1723"/>
      <c r="G5" s="3119" t="str">
        <f>INDEX(PT_DIFFERENTIATION_NTAR,MATCH(B5,PT_DIFFERENTIATION_NTAR_ID,0))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5" s="2556"/>
      <c r="I5" s="2431"/>
      <c r="J5" s="2465"/>
      <c r="K5" s="2470"/>
      <c r="L5" s="2556" t="s">
        <v>381</v>
      </c>
      <c r="M5" s="2567"/>
      <c r="N5" s="1026"/>
      <c r="O5" s="2316"/>
      <c r="P5" s="2316"/>
      <c r="AH5" s="2323">
        <v>0</v>
      </c>
    </row>
    <row s="62286" customFormat="1" customHeight="1" ht="18.75" hidden="1">
      <c r="A6" s="2472"/>
      <c r="B6" s="2472"/>
      <c r="C6" s="1061" t="s">
        <v>1219</v>
      </c>
      <c r="D6" s="1036"/>
      <c r="E6" s="1723"/>
      <c r="F6" s="1723"/>
      <c r="G6" s="3119"/>
      <c r="H6" s="2192"/>
      <c r="I6" s="1343" t="s">
        <v>1218</v>
      </c>
      <c r="J6" s="1263"/>
      <c r="K6" s="2192"/>
      <c r="L6" s="906"/>
      <c r="M6" s="2567"/>
      <c r="N6" s="1026"/>
      <c r="O6" s="2316"/>
      <c r="P6" s="2316"/>
      <c r="AH6" s="2323">
        <v>0</v>
      </c>
    </row>
    <row s="62286" customFormat="1" customHeight="1" ht="14.25" hidden="1">
      <c r="A7" s="2471"/>
      <c r="B7" s="2471"/>
      <c r="C7" s="1061"/>
      <c r="D7" s="1036"/>
      <c r="N7" s="2328">
        <f>_xlfn.IFERROR(MATCH("метод экономически обоснованных расходов (затрат)",OFFER_METHOD,0),0)</f>
        <v>0</v>
      </c>
      <c r="O7" s="2316"/>
      <c r="P7" s="2316"/>
      <c r="T7" s="1523"/>
      <c r="AG7" s="947"/>
      <c r="AH7" s="2323">
        <v>0</v>
      </c>
    </row>
    <row s="62286" customFormat="1" customHeight="1" ht="56.25" hidden="1">
      <c r="A8" s="2472"/>
      <c r="B8" s="2472"/>
      <c r="C8" s="1061"/>
      <c r="D8" s="1036"/>
      <c r="E8" s="1723"/>
      <c r="F8" s="1723"/>
      <c r="G8" s="1723"/>
      <c r="H8" s="2463"/>
      <c r="I8" s="2431"/>
      <c r="J8" s="2465"/>
      <c r="K8" s="2557"/>
      <c r="L8" s="2463" t="s">
        <v>381</v>
      </c>
      <c r="M8" s="2567"/>
      <c r="N8" s="1026"/>
      <c r="O8" s="2316"/>
      <c r="P8" s="2316"/>
      <c r="AH8" s="2323">
        <v>0</v>
      </c>
    </row>
    <row customHeight="1" ht="14.25" hidden="1">
      <c r="T9" s="1089"/>
      <c r="AG9" s="947"/>
      <c r="AH9" s="1066">
        <v>0</v>
      </c>
    </row>
    <row s="62286" customFormat="1" customHeight="1" ht="56.25" hidden="1">
      <c r="A10" s="2472"/>
      <c r="B10" s="2472"/>
      <c r="C10" s="1061"/>
      <c r="D10" s="1036"/>
      <c r="E10" s="1723"/>
      <c r="F10" s="1723"/>
      <c r="G10" s="1723"/>
      <c r="H10" s="2462"/>
      <c r="I10" s="2431"/>
      <c r="J10" s="2465"/>
      <c r="K10" s="2470"/>
      <c r="L10" s="2463" t="s">
        <v>381</v>
      </c>
      <c r="M10" s="2567"/>
      <c r="N10" s="1026"/>
      <c r="O10" s="2316"/>
      <c r="P10" s="2316"/>
      <c r="AH10" s="2323">
        <v>0</v>
      </c>
    </row>
    <row customHeight="1" ht="14.25" hidden="1">
      <c r="AH11" s="1066">
        <v>0</v>
      </c>
    </row>
    <row customHeight="1" ht="14.25" hidden="1">
      <c r="AH12" s="1066">
        <v>0</v>
      </c>
    </row>
    <row customHeight="1" ht="6.3">
      <c r="D13" s="1068"/>
      <c r="E13" s="1055"/>
      <c r="F13" s="1055"/>
      <c r="G13" s="1055"/>
      <c r="H13" s="1055"/>
      <c r="I13" s="1055"/>
      <c r="J13" s="1055"/>
      <c r="K13" s="1055"/>
      <c r="L13" s="777"/>
      <c r="M13" s="777"/>
      <c r="AH13" s="1066">
        <v>6</v>
      </c>
    </row>
    <row customHeight="1" ht="14.699999999999998">
      <c r="D14" s="1068"/>
      <c r="E14" s="315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157"/>
      <c r="G14" s="3157"/>
      <c r="H14" s="3157"/>
      <c r="I14" s="3157"/>
      <c r="J14" s="3157"/>
      <c r="K14" s="3157"/>
      <c r="L14" s="3157"/>
      <c r="M14" s="912"/>
      <c r="AH14" s="1066">
        <v>14</v>
      </c>
    </row>
    <row customHeight="1" ht="6.3">
      <c r="D15" s="1068"/>
      <c r="E15" s="1055"/>
      <c r="F15" s="1081"/>
      <c r="G15" s="1081"/>
      <c r="H15" s="1081"/>
      <c r="I15" s="1081"/>
      <c r="J15" s="1081"/>
      <c r="K15" s="1081"/>
      <c r="L15" s="1014"/>
      <c r="M15" s="885"/>
      <c r="AH15" s="1066">
        <v>6</v>
      </c>
    </row>
    <row customHeight="1" ht="24">
      <c r="D16" s="1068"/>
      <c r="E16" s="1055"/>
      <c r="F16" s="997" t="str">
        <f>"Дата подачи заявления об "&amp;IF(TITLE_DATE_PR_CHANGE="","утверждении","изменении")&amp;" тарифов"</f>
        <v>Дата подачи заявления об изменении тарифов</v>
      </c>
      <c r="G16" s="2956" t="str">
        <f>IF(TITLE_DATE_PR_CHANGE="",IF(TITLE_DATE_PR="","",TITLE_DATE_PR),TITLE_DATE_PR_CHANGE)</f>
        <v>45981</v>
      </c>
      <c r="H16" s="2956"/>
      <c r="I16" s="2956"/>
      <c r="J16" s="2956"/>
      <c r="K16" s="2956"/>
      <c r="L16" s="2956"/>
      <c r="M16" s="1090"/>
      <c r="N16" s="1018"/>
      <c r="AH16" s="1066">
        <v>23</v>
      </c>
    </row>
    <row customHeight="1" ht="24">
      <c r="D17" s="1068"/>
      <c r="E17" s="1055"/>
      <c r="F17" s="997" t="str">
        <f>"Номер подачи заявления об "&amp;IF(TITLE_DATE_PR_CHANGE="","утверждении","изменении")&amp;" тарифов"</f>
        <v>Номер подачи заявления об изменении тарифов</v>
      </c>
      <c r="G17" s="2943" t="str">
        <f>IF(TITLE_NUMBER_PR_CHANGE="",IF(TITLE_NUMBER_PR="","",TITLE_NUMBER_PR),TITLE_NUMBER_PR_CHANGE)</f>
        <v>Исх-260/1781</v>
      </c>
      <c r="H17" s="2943"/>
      <c r="I17" s="2943"/>
      <c r="J17" s="2943"/>
      <c r="K17" s="2943"/>
      <c r="L17" s="2943"/>
      <c r="M17" s="1090"/>
      <c r="N17" s="1018"/>
      <c r="AH17" s="1066">
        <v>23</v>
      </c>
    </row>
    <row customHeight="1" ht="14.699999999999998">
      <c r="D18" s="1068"/>
      <c r="E18" s="1055"/>
      <c r="F18" s="1081"/>
      <c r="G18" s="1081"/>
      <c r="H18" s="1081"/>
      <c r="I18" s="1081"/>
      <c r="J18" s="1081"/>
      <c r="K18" s="1081"/>
      <c r="L18" s="1444"/>
      <c r="M18" s="885"/>
      <c r="AH18" s="1066">
        <v>14</v>
      </c>
    </row>
    <row customHeight="1" ht="22.049999999999997">
      <c r="D19" s="1068"/>
      <c r="E19" s="2901" t="s">
        <v>375</v>
      </c>
      <c r="F19" s="2901"/>
      <c r="G19" s="2901"/>
      <c r="H19" s="2901"/>
      <c r="I19" s="2901"/>
      <c r="J19" s="2901"/>
      <c r="K19" s="2901"/>
      <c r="L19" s="2901"/>
      <c r="M19" s="3081" t="s">
        <v>376</v>
      </c>
      <c r="AH19" s="1066">
        <v>21</v>
      </c>
    </row>
    <row customHeight="1" ht="22.049999999999997">
      <c r="D20" s="1068"/>
      <c r="E20" s="2969" t="s">
        <v>89</v>
      </c>
      <c r="F20" s="2916" t="s">
        <v>130</v>
      </c>
      <c r="G20" s="2916" t="s">
        <v>131</v>
      </c>
      <c r="H20" s="3078" t="s">
        <v>1220</v>
      </c>
      <c r="I20" s="3079"/>
      <c r="J20" s="3125"/>
      <c r="K20" s="2916" t="s">
        <v>378</v>
      </c>
      <c r="L20" s="2916" t="s">
        <v>465</v>
      </c>
      <c r="M20" s="3081"/>
      <c r="AH20" s="1066">
        <v>21</v>
      </c>
    </row>
    <row customHeight="1" ht="22.049999999999997">
      <c r="D21" s="1068"/>
      <c r="E21" s="2971"/>
      <c r="F21" s="2917"/>
      <c r="G21" s="2917"/>
      <c r="H21" s="2910" t="s">
        <v>1221</v>
      </c>
      <c r="I21" s="2912"/>
      <c r="J21" s="800" t="s">
        <v>1222</v>
      </c>
      <c r="K21" s="2917"/>
      <c r="L21" s="2917"/>
      <c r="M21" s="3081"/>
      <c r="AH21" s="1066">
        <v>21</v>
      </c>
    </row>
    <row customHeight="1" ht="12.75">
      <c r="D22" s="1068"/>
      <c r="E22" s="973"/>
      <c r="F22" s="973"/>
      <c r="G22" s="973"/>
      <c r="H22" s="3159"/>
      <c r="I22" s="3159"/>
      <c r="J22" s="973"/>
      <c r="K22" s="973"/>
      <c r="L22" s="973"/>
      <c r="M22" s="973"/>
      <c r="AH22" s="1066">
        <v>12</v>
      </c>
    </row>
    <row customHeight="1" ht="19.95">
      <c r="A23" s="2472"/>
      <c r="B23" s="2472"/>
      <c r="D23" s="1068"/>
      <c r="E23" s="2558" t="s">
        <v>118</v>
      </c>
      <c r="F23" s="3160" t="str">
        <f>"Предлагаемый метод регулирования"&amp;IF(TEMPLATE_SPHERE="HEAT"," в сфере "&amp;TEMPLATE_SPHERE_RUS,"")</f>
        <v>Предлагаемый метод регулирования в сфере теплоснабжения</v>
      </c>
      <c r="G23" s="3161"/>
      <c r="H23" s="3153"/>
      <c r="I23" s="3153"/>
      <c r="J23" s="3153"/>
      <c r="K23" s="3161" t="s">
        <v>381</v>
      </c>
      <c r="L23" s="3153"/>
      <c r="M23" s="2461"/>
      <c r="N23" s="1026"/>
      <c r="AH23" s="1066">
        <v>19</v>
      </c>
    </row>
    <row customHeight="1" ht="60.75">
      <c r="A24" s="2472" t="s">
        <v>166</v>
      </c>
      <c r="B24" s="2472" t="s">
        <v>167</v>
      </c>
      <c r="D24" s="3158"/>
      <c r="E24" s="2896"/>
      <c r="F24" s="316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119" t="str">
        <f>INDEX(PT_DIFFERENTIATION_NTAR,MATCH(B24,PT_DIFFERENTIATION_NTAR_ID,0))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24" s="2554"/>
      <c r="I24" s="26819">
        <v>45292</v>
      </c>
      <c r="J24" s="26820">
        <v>47118</v>
      </c>
      <c r="K24" s="2557" t="s">
        <v>1223</v>
      </c>
      <c r="L24" s="2460" t="s">
        <v>381</v>
      </c>
      <c r="M24" s="28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026"/>
      <c r="AH24" s="1066">
        <v>0</v>
      </c>
    </row>
    <row s="62286" customFormat="1" customHeight="1" ht="18.75">
      <c r="A25" s="2472"/>
      <c r="B25" s="2472"/>
      <c r="C25" s="1061" t="s">
        <v>1217</v>
      </c>
      <c r="D25" s="3158"/>
      <c r="E25" s="2896"/>
      <c r="F25" s="3162"/>
      <c r="G25" s="3119"/>
      <c r="H25" s="2192"/>
      <c r="I25" s="1343" t="s">
        <v>1218</v>
      </c>
      <c r="J25" s="1263"/>
      <c r="K25" s="2192"/>
      <c r="L25" s="906"/>
      <c r="M25" s="2862"/>
      <c r="N25" s="1026"/>
      <c r="O25" s="2316"/>
      <c r="P25" s="2316"/>
      <c r="AH25" s="2323">
        <v>0</v>
      </c>
    </row>
    <row s="62286" customFormat="1" customHeight="1" ht="18.75">
      <c r="A26" s="23333" t="s">
        <v>166</v>
      </c>
      <c r="B26" s="23333" t="s">
        <v>176</v>
      </c>
      <c r="C26" s="26822"/>
      <c r="D26" s="26823"/>
      <c r="E26" s="26824"/>
      <c r="F26" s="26824"/>
      <c r="G26" s="26825" t="str">
        <f>INDEX(PT_DIFFERENTIATION_NTAR,MATCH(B26,PT_DIFFERENTIATION_NTAR_ID,0))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26" s="23206"/>
      <c r="I26" s="26819">
        <v>45292</v>
      </c>
      <c r="J26" s="26820">
        <v>47118</v>
      </c>
      <c r="K26" s="26826" t="s">
        <v>1223</v>
      </c>
      <c r="L26" s="23206" t="s">
        <v>381</v>
      </c>
      <c r="M26" s="26827"/>
      <c r="N26" s="26828"/>
      <c r="O26" s="23339"/>
      <c r="P26" s="23339"/>
      <c r="Q26" s="22944"/>
      <c r="R26" s="22944"/>
      <c r="S26" s="22944"/>
      <c r="T26" s="22944"/>
      <c r="U26" s="22944"/>
      <c r="V26" s="22944"/>
      <c r="W26" s="22944"/>
      <c r="X26" s="22944"/>
      <c r="Y26" s="22944"/>
      <c r="Z26" s="22944"/>
      <c r="AA26" s="22944"/>
      <c r="AB26" s="22944"/>
      <c r="AC26" s="22944"/>
      <c r="AD26" s="22944"/>
      <c r="AE26" s="22944"/>
      <c r="AF26" s="22944"/>
      <c r="AG26" s="22944"/>
      <c r="AH26" s="22944">
        <v>0</v>
      </c>
    </row>
    <row s="62286" customFormat="1" customHeight="1" ht="18.75">
      <c r="A27" s="23333"/>
      <c r="B27" s="23333"/>
      <c r="C27" s="26822" t="s">
        <v>1217</v>
      </c>
      <c r="D27" s="26823"/>
      <c r="E27" s="26824"/>
      <c r="F27" s="26824"/>
      <c r="G27" s="26825"/>
      <c r="H27" s="26829"/>
      <c r="I27" s="26830" t="s">
        <v>1218</v>
      </c>
      <c r="J27" s="26831"/>
      <c r="K27" s="26832"/>
      <c r="L27" s="26833"/>
      <c r="M27" s="26827"/>
      <c r="N27" s="26828"/>
      <c r="O27" s="23339"/>
      <c r="P27" s="23339"/>
      <c r="Q27" s="22944"/>
      <c r="R27" s="22944"/>
      <c r="S27" s="22944"/>
      <c r="T27" s="22944"/>
      <c r="U27" s="22944"/>
      <c r="V27" s="22944"/>
      <c r="W27" s="22944"/>
      <c r="X27" s="22944"/>
      <c r="Y27" s="22944"/>
      <c r="Z27" s="22944"/>
      <c r="AA27" s="22944"/>
      <c r="AB27" s="22944"/>
      <c r="AC27" s="22944"/>
      <c r="AD27" s="22944"/>
      <c r="AE27" s="22944"/>
      <c r="AF27" s="22944"/>
      <c r="AG27" s="22944"/>
      <c r="AH27" s="22944">
        <v>0</v>
      </c>
    </row>
    <row s="62286" customFormat="1" customHeight="1" ht="18.75">
      <c r="A28" s="23333" t="s">
        <v>166</v>
      </c>
      <c r="B28" s="23333" t="s">
        <v>182</v>
      </c>
      <c r="C28" s="26822"/>
      <c r="D28" s="26823"/>
      <c r="E28" s="26824"/>
      <c r="F28" s="26824"/>
      <c r="G28" s="26825" t="str">
        <f>INDEX(PT_DIFFERENTIATION_NTAR,MATCH(B28,PT_DIFFERENTIATION_NTAR_ID,0))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28" s="23206"/>
      <c r="I28" s="26819">
        <v>45292</v>
      </c>
      <c r="J28" s="26820">
        <v>47118</v>
      </c>
      <c r="K28" s="26826" t="s">
        <v>1223</v>
      </c>
      <c r="L28" s="23206" t="s">
        <v>381</v>
      </c>
      <c r="M28" s="26827"/>
      <c r="N28" s="26828"/>
      <c r="O28" s="23339"/>
      <c r="P28" s="23339"/>
      <c r="Q28" s="22944"/>
      <c r="R28" s="22944"/>
      <c r="S28" s="22944"/>
      <c r="T28" s="22944"/>
      <c r="U28" s="22944"/>
      <c r="V28" s="22944"/>
      <c r="W28" s="22944"/>
      <c r="X28" s="22944"/>
      <c r="Y28" s="22944"/>
      <c r="Z28" s="22944"/>
      <c r="AA28" s="22944"/>
      <c r="AB28" s="22944"/>
      <c r="AC28" s="22944"/>
      <c r="AD28" s="22944"/>
      <c r="AE28" s="22944"/>
      <c r="AF28" s="22944"/>
      <c r="AG28" s="22944"/>
      <c r="AH28" s="22944">
        <v>0</v>
      </c>
    </row>
    <row s="62286" customFormat="1" customHeight="1" ht="18.75">
      <c r="A29" s="23333"/>
      <c r="B29" s="23333"/>
      <c r="C29" s="26822" t="s">
        <v>1217</v>
      </c>
      <c r="D29" s="26823"/>
      <c r="E29" s="26824"/>
      <c r="F29" s="26824"/>
      <c r="G29" s="26825"/>
      <c r="H29" s="26834"/>
      <c r="I29" s="26835" t="s">
        <v>1218</v>
      </c>
      <c r="J29" s="26836"/>
      <c r="K29" s="26837"/>
      <c r="L29" s="26838"/>
      <c r="M29" s="26827"/>
      <c r="N29" s="26828"/>
      <c r="O29" s="23339"/>
      <c r="P29" s="23339"/>
      <c r="Q29" s="22944"/>
      <c r="R29" s="22944"/>
      <c r="S29" s="22944"/>
      <c r="T29" s="22944"/>
      <c r="U29" s="22944"/>
      <c r="V29" s="22944"/>
      <c r="W29" s="22944"/>
      <c r="X29" s="22944"/>
      <c r="Y29" s="22944"/>
      <c r="Z29" s="22944"/>
      <c r="AA29" s="22944"/>
      <c r="AB29" s="22944"/>
      <c r="AC29" s="22944"/>
      <c r="AD29" s="22944"/>
      <c r="AE29" s="22944"/>
      <c r="AF29" s="22944"/>
      <c r="AG29" s="22944"/>
      <c r="AH29" s="22944">
        <v>0</v>
      </c>
    </row>
    <row customHeight="1" ht="0.75">
      <c r="A30" s="2472"/>
      <c r="B30" s="2472"/>
      <c r="C30" s="1061" t="s">
        <v>1224</v>
      </c>
      <c r="D30" s="3158"/>
      <c r="E30" s="2896"/>
      <c r="F30" s="3075"/>
      <c r="G30" s="1092"/>
      <c r="H30" s="2192"/>
      <c r="I30" s="1087"/>
      <c r="J30" s="1041"/>
      <c r="K30" s="2192"/>
      <c r="L30" s="893"/>
      <c r="M30" s="2862"/>
      <c r="N30" s="1026"/>
      <c r="AH30" s="1066">
        <v>0</v>
      </c>
    </row>
    <row s="62286" customFormat="1" customHeight="1" ht="45">
      <c r="A31" s="2472" t="s">
        <v>190</v>
      </c>
      <c r="B31" s="2472" t="s">
        <v>191</v>
      </c>
      <c r="C31" s="1061"/>
      <c r="D31" s="3154"/>
      <c r="E31" s="3155"/>
      <c r="F31" s="3156" t="str">
        <f>INDEX(PT_DIFFERENTIATION_VTAR,MATCH(A31,PT_DIFFERENTIATION_VTAR_ID,0))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1" s="3119" t="str">
        <f>INDEX(PT_DIFFERENTIATION_NTAR,MATCH(B31,PT_DIFFERENTIATION_NTAR_ID,0))</f>
        <v>Тариф на тепловую энергию, поставляемую потребителям АО "ДГК" на территории Артемовского городского округа Приморского края</v>
      </c>
      <c r="H31" s="2554"/>
      <c r="I31" s="26819">
        <v>45292</v>
      </c>
      <c r="J31" s="2465">
        <v>47118</v>
      </c>
      <c r="K31" s="2557" t="s">
        <v>1223</v>
      </c>
      <c r="L31" s="2554" t="s">
        <v>381</v>
      </c>
      <c r="M31" s="2862"/>
      <c r="N31" s="1026"/>
      <c r="O31" s="2316"/>
      <c r="P31" s="2316"/>
      <c r="AH31" s="2323">
        <v>0</v>
      </c>
    </row>
    <row s="62286" customFormat="1" customHeight="1" ht="18.75">
      <c r="A32" s="2472"/>
      <c r="B32" s="2472"/>
      <c r="C32" s="1061" t="s">
        <v>1217</v>
      </c>
      <c r="D32" s="3154"/>
      <c r="E32" s="3155"/>
      <c r="F32" s="3156"/>
      <c r="G32" s="3119"/>
      <c r="H32" s="2192"/>
      <c r="I32" s="1343" t="s">
        <v>1218</v>
      </c>
      <c r="J32" s="1263"/>
      <c r="K32" s="2192"/>
      <c r="L32" s="906"/>
      <c r="M32" s="2862"/>
      <c r="N32" s="1026"/>
      <c r="O32" s="2316"/>
      <c r="P32" s="2316"/>
      <c r="AH32" s="2323">
        <v>0</v>
      </c>
    </row>
    <row s="62286" customFormat="1" customHeight="1" ht="18.75">
      <c r="A33" s="23333" t="s">
        <v>190</v>
      </c>
      <c r="B33" s="23333" t="s">
        <v>196</v>
      </c>
      <c r="C33" s="26822"/>
      <c r="D33" s="26823"/>
      <c r="E33" s="26824"/>
      <c r="F33" s="26824"/>
      <c r="G33" s="26825" t="str">
        <f>INDEX(PT_DIFFERENTIATION_NTAR,MATCH(B33,PT_DIFFERENTIATION_NTAR_ID,0))</f>
        <v>Тариф на тепловую энергию, поставляемую потребителям АО "ДГК" на территории Владивостокского городского округа Приморского края</v>
      </c>
      <c r="H33" s="23206"/>
      <c r="I33" s="26819">
        <v>45292</v>
      </c>
      <c r="J33" s="26820">
        <v>47118</v>
      </c>
      <c r="K33" s="26826" t="s">
        <v>1223</v>
      </c>
      <c r="L33" s="23206" t="s">
        <v>381</v>
      </c>
      <c r="M33" s="26827"/>
      <c r="N33" s="26828"/>
      <c r="O33" s="23339"/>
      <c r="P33" s="23339"/>
      <c r="Q33" s="22944"/>
      <c r="R33" s="22944"/>
      <c r="S33" s="22944"/>
      <c r="T33" s="22944"/>
      <c r="U33" s="22944"/>
      <c r="V33" s="22944"/>
      <c r="W33" s="22944"/>
      <c r="X33" s="22944"/>
      <c r="Y33" s="22944"/>
      <c r="Z33" s="22944"/>
      <c r="AA33" s="22944"/>
      <c r="AB33" s="22944"/>
      <c r="AC33" s="22944"/>
      <c r="AD33" s="22944"/>
      <c r="AE33" s="22944"/>
      <c r="AF33" s="22944"/>
      <c r="AG33" s="22944"/>
      <c r="AH33" s="22944">
        <v>0</v>
      </c>
    </row>
    <row s="62286" customFormat="1" customHeight="1" ht="18.75">
      <c r="A34" s="23333"/>
      <c r="B34" s="23333"/>
      <c r="C34" s="26822" t="s">
        <v>1217</v>
      </c>
      <c r="D34" s="26823"/>
      <c r="E34" s="26824"/>
      <c r="F34" s="26824"/>
      <c r="G34" s="26825"/>
      <c r="H34" s="26844"/>
      <c r="I34" s="26845" t="s">
        <v>1218</v>
      </c>
      <c r="J34" s="26846"/>
      <c r="K34" s="26847"/>
      <c r="L34" s="26848"/>
      <c r="M34" s="26827"/>
      <c r="N34" s="26828"/>
      <c r="O34" s="23339"/>
      <c r="P34" s="23339"/>
      <c r="Q34" s="22944"/>
      <c r="R34" s="22944"/>
      <c r="S34" s="22944"/>
      <c r="T34" s="22944"/>
      <c r="U34" s="22944"/>
      <c r="V34" s="22944"/>
      <c r="W34" s="22944"/>
      <c r="X34" s="22944"/>
      <c r="Y34" s="22944"/>
      <c r="Z34" s="22944"/>
      <c r="AA34" s="22944"/>
      <c r="AB34" s="22944"/>
      <c r="AC34" s="22944"/>
      <c r="AD34" s="22944"/>
      <c r="AE34" s="22944"/>
      <c r="AF34" s="22944"/>
      <c r="AG34" s="22944"/>
      <c r="AH34" s="22944">
        <v>0</v>
      </c>
    </row>
    <row s="62286" customFormat="1" customHeight="1" ht="18.75">
      <c r="A35" s="23333" t="s">
        <v>190</v>
      </c>
      <c r="B35" s="23333" t="s">
        <v>201</v>
      </c>
      <c r="C35" s="26822"/>
      <c r="D35" s="26823"/>
      <c r="E35" s="26824"/>
      <c r="F35" s="26824"/>
      <c r="G35" s="26825" t="str">
        <f>INDEX(PT_DIFFERENTIATION_NTAR,MATCH(B35,PT_DIFFERENTIATION_NTAR_ID,0))</f>
        <v>Тариф на тепловую энергию, поставляемую потребителям АО "ДГК" на территории Партизанского городского округа Приморского края</v>
      </c>
      <c r="H35" s="23206"/>
      <c r="I35" s="26819">
        <v>45292</v>
      </c>
      <c r="J35" s="26820">
        <v>47118</v>
      </c>
      <c r="K35" s="26826" t="s">
        <v>1223</v>
      </c>
      <c r="L35" s="23206" t="s">
        <v>381</v>
      </c>
      <c r="M35" s="26827"/>
      <c r="N35" s="26828"/>
      <c r="O35" s="23339"/>
      <c r="P35" s="23339"/>
      <c r="Q35" s="22944"/>
      <c r="R35" s="22944"/>
      <c r="S35" s="22944"/>
      <c r="T35" s="22944"/>
      <c r="U35" s="22944"/>
      <c r="V35" s="22944"/>
      <c r="W35" s="22944"/>
      <c r="X35" s="22944"/>
      <c r="Y35" s="22944"/>
      <c r="Z35" s="22944"/>
      <c r="AA35" s="22944"/>
      <c r="AB35" s="22944"/>
      <c r="AC35" s="22944"/>
      <c r="AD35" s="22944"/>
      <c r="AE35" s="22944"/>
      <c r="AF35" s="22944"/>
      <c r="AG35" s="22944"/>
      <c r="AH35" s="22944">
        <v>0</v>
      </c>
    </row>
    <row s="62286" customFormat="1" customHeight="1" ht="18.75">
      <c r="A36" s="23333"/>
      <c r="B36" s="23333"/>
      <c r="C36" s="26822" t="s">
        <v>1217</v>
      </c>
      <c r="D36" s="26823"/>
      <c r="E36" s="26824"/>
      <c r="F36" s="26824"/>
      <c r="G36" s="26825"/>
      <c r="H36" s="26849"/>
      <c r="I36" s="26850" t="s">
        <v>1218</v>
      </c>
      <c r="J36" s="26851"/>
      <c r="K36" s="26852"/>
      <c r="L36" s="26853"/>
      <c r="M36" s="26827"/>
      <c r="N36" s="26828"/>
      <c r="O36" s="23339"/>
      <c r="P36" s="23339"/>
      <c r="Q36" s="22944"/>
      <c r="R36" s="22944"/>
      <c r="S36" s="22944"/>
      <c r="T36" s="22944"/>
      <c r="U36" s="22944"/>
      <c r="V36" s="22944"/>
      <c r="W36" s="22944"/>
      <c r="X36" s="22944"/>
      <c r="Y36" s="22944"/>
      <c r="Z36" s="22944"/>
      <c r="AA36" s="22944"/>
      <c r="AB36" s="22944"/>
      <c r="AC36" s="22944"/>
      <c r="AD36" s="22944"/>
      <c r="AE36" s="22944"/>
      <c r="AF36" s="22944"/>
      <c r="AG36" s="22944"/>
      <c r="AH36" s="22944">
        <v>0</v>
      </c>
    </row>
    <row s="62286" customFormat="1" customHeight="1" ht="18.75">
      <c r="A37" s="23333" t="s">
        <v>190</v>
      </c>
      <c r="B37" s="23333" t="s">
        <v>206</v>
      </c>
      <c r="C37" s="26822"/>
      <c r="D37" s="26823"/>
      <c r="E37" s="26824"/>
      <c r="F37" s="26824"/>
      <c r="G37" s="26825" t="str">
        <f>INDEX(PT_DIFFERENTIATION_NTAR,MATCH(B37,PT_DIFFERENTIATION_NTAR_ID,0))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37" s="23206"/>
      <c r="I37" s="26819">
        <v>45292</v>
      </c>
      <c r="J37" s="26820">
        <v>47118</v>
      </c>
      <c r="K37" s="26826" t="s">
        <v>1223</v>
      </c>
      <c r="L37" s="23206" t="s">
        <v>381</v>
      </c>
      <c r="M37" s="26827"/>
      <c r="N37" s="26828"/>
      <c r="O37" s="23339"/>
      <c r="P37" s="23339"/>
      <c r="Q37" s="22944"/>
      <c r="R37" s="22944"/>
      <c r="S37" s="22944"/>
      <c r="T37" s="22944"/>
      <c r="U37" s="22944"/>
      <c r="V37" s="22944"/>
      <c r="W37" s="22944"/>
      <c r="X37" s="22944"/>
      <c r="Y37" s="22944"/>
      <c r="Z37" s="22944"/>
      <c r="AA37" s="22944"/>
      <c r="AB37" s="22944"/>
      <c r="AC37" s="22944"/>
      <c r="AD37" s="22944"/>
      <c r="AE37" s="22944"/>
      <c r="AF37" s="22944"/>
      <c r="AG37" s="22944"/>
      <c r="AH37" s="22944">
        <v>0</v>
      </c>
    </row>
    <row s="62286" customFormat="1" customHeight="1" ht="18.75">
      <c r="A38" s="23333"/>
      <c r="B38" s="23333"/>
      <c r="C38" s="26822" t="s">
        <v>1217</v>
      </c>
      <c r="D38" s="26823"/>
      <c r="E38" s="26824"/>
      <c r="F38" s="26824"/>
      <c r="G38" s="26825"/>
      <c r="H38" s="26854"/>
      <c r="I38" s="26855" t="s">
        <v>1218</v>
      </c>
      <c r="J38" s="26856"/>
      <c r="K38" s="26857"/>
      <c r="L38" s="26858"/>
      <c r="M38" s="26827"/>
      <c r="N38" s="26828"/>
      <c r="O38" s="23339"/>
      <c r="P38" s="23339"/>
      <c r="Q38" s="22944"/>
      <c r="R38" s="22944"/>
      <c r="S38" s="22944"/>
      <c r="T38" s="22944"/>
      <c r="U38" s="22944"/>
      <c r="V38" s="22944"/>
      <c r="W38" s="22944"/>
      <c r="X38" s="22944"/>
      <c r="Y38" s="22944"/>
      <c r="Z38" s="22944"/>
      <c r="AA38" s="22944"/>
      <c r="AB38" s="22944"/>
      <c r="AC38" s="22944"/>
      <c r="AD38" s="22944"/>
      <c r="AE38" s="22944"/>
      <c r="AF38" s="22944"/>
      <c r="AG38" s="22944"/>
      <c r="AH38" s="22944">
        <v>0</v>
      </c>
    </row>
    <row s="62286" customFormat="1" customHeight="1" ht="18.75">
      <c r="A39" s="23333" t="s">
        <v>190</v>
      </c>
      <c r="B39" s="23333" t="s">
        <v>211</v>
      </c>
      <c r="C39" s="26822"/>
      <c r="D39" s="26823"/>
      <c r="E39" s="26824"/>
      <c r="F39" s="26824"/>
      <c r="G39" s="26825" t="str">
        <f>INDEX(PT_DIFFERENTIATION_NTAR,MATCH(B39,PT_DIFFERENTIATION_NTAR_ID,0))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39" s="23206"/>
      <c r="I39" s="26819">
        <v>45292</v>
      </c>
      <c r="J39" s="26820">
        <v>47118</v>
      </c>
      <c r="K39" s="26826" t="s">
        <v>1223</v>
      </c>
      <c r="L39" s="23206" t="s">
        <v>381</v>
      </c>
      <c r="M39" s="26827"/>
      <c r="N39" s="26828"/>
      <c r="O39" s="23339"/>
      <c r="P39" s="23339"/>
      <c r="Q39" s="22944"/>
      <c r="R39" s="22944"/>
      <c r="S39" s="22944"/>
      <c r="T39" s="22944"/>
      <c r="U39" s="22944"/>
      <c r="V39" s="22944"/>
      <c r="W39" s="22944"/>
      <c r="X39" s="22944"/>
      <c r="Y39" s="22944"/>
      <c r="Z39" s="22944"/>
      <c r="AA39" s="22944"/>
      <c r="AB39" s="22944"/>
      <c r="AC39" s="22944"/>
      <c r="AD39" s="22944"/>
      <c r="AE39" s="22944"/>
      <c r="AF39" s="22944"/>
      <c r="AG39" s="22944"/>
      <c r="AH39" s="22944">
        <v>0</v>
      </c>
    </row>
    <row s="62286" customFormat="1" customHeight="1" ht="18.75">
      <c r="A40" s="23333"/>
      <c r="B40" s="23333"/>
      <c r="C40" s="26822" t="s">
        <v>1217</v>
      </c>
      <c r="D40" s="26823"/>
      <c r="E40" s="26824"/>
      <c r="F40" s="26824"/>
      <c r="G40" s="26825"/>
      <c r="H40" s="26859"/>
      <c r="I40" s="26860" t="s">
        <v>1218</v>
      </c>
      <c r="J40" s="26861"/>
      <c r="K40" s="26862"/>
      <c r="L40" s="26863"/>
      <c r="M40" s="26827"/>
      <c r="N40" s="26828"/>
      <c r="O40" s="23339"/>
      <c r="P40" s="23339"/>
      <c r="Q40" s="22944"/>
      <c r="R40" s="22944"/>
      <c r="S40" s="22944"/>
      <c r="T40" s="22944"/>
      <c r="U40" s="22944"/>
      <c r="V40" s="22944"/>
      <c r="W40" s="22944"/>
      <c r="X40" s="22944"/>
      <c r="Y40" s="22944"/>
      <c r="Z40" s="22944"/>
      <c r="AA40" s="22944"/>
      <c r="AB40" s="22944"/>
      <c r="AC40" s="22944"/>
      <c r="AD40" s="22944"/>
      <c r="AE40" s="22944"/>
      <c r="AF40" s="22944"/>
      <c r="AG40" s="22944"/>
      <c r="AH40" s="22944">
        <v>0</v>
      </c>
    </row>
    <row s="62286" customFormat="1" customHeight="1" ht="18.75">
      <c r="A41" s="23333" t="s">
        <v>190</v>
      </c>
      <c r="B41" s="23333" t="s">
        <v>216</v>
      </c>
      <c r="C41" s="26822"/>
      <c r="D41" s="26823"/>
      <c r="E41" s="26824"/>
      <c r="F41" s="26824"/>
      <c r="G41" s="26825" t="str">
        <f>INDEX(PT_DIFFERENTIATION_NTAR,MATCH(B41,PT_DIFFERENTIATION_NTAR_ID,0))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41" s="23206"/>
      <c r="I41" s="26819">
        <v>45292</v>
      </c>
      <c r="J41" s="26820">
        <v>47118</v>
      </c>
      <c r="K41" s="26826" t="s">
        <v>1223</v>
      </c>
      <c r="L41" s="23206" t="s">
        <v>381</v>
      </c>
      <c r="M41" s="26827"/>
      <c r="N41" s="26828"/>
      <c r="O41" s="23339"/>
      <c r="P41" s="23339"/>
      <c r="Q41" s="22944"/>
      <c r="R41" s="22944"/>
      <c r="S41" s="22944"/>
      <c r="T41" s="22944"/>
      <c r="U41" s="22944"/>
      <c r="V41" s="22944"/>
      <c r="W41" s="22944"/>
      <c r="X41" s="22944"/>
      <c r="Y41" s="22944"/>
      <c r="Z41" s="22944"/>
      <c r="AA41" s="22944"/>
      <c r="AB41" s="22944"/>
      <c r="AC41" s="22944"/>
      <c r="AD41" s="22944"/>
      <c r="AE41" s="22944"/>
      <c r="AF41" s="22944"/>
      <c r="AG41" s="22944"/>
      <c r="AH41" s="22944">
        <v>0</v>
      </c>
    </row>
    <row s="62286" customFormat="1" customHeight="1" ht="18.75">
      <c r="A42" s="23333"/>
      <c r="B42" s="23333"/>
      <c r="C42" s="26822" t="s">
        <v>1217</v>
      </c>
      <c r="D42" s="26823"/>
      <c r="E42" s="26824"/>
      <c r="F42" s="26824"/>
      <c r="G42" s="26825"/>
      <c r="H42" s="26864"/>
      <c r="I42" s="26865" t="s">
        <v>1218</v>
      </c>
      <c r="J42" s="26866"/>
      <c r="K42" s="26867"/>
      <c r="L42" s="26868"/>
      <c r="M42" s="26827"/>
      <c r="N42" s="26828"/>
      <c r="O42" s="23339"/>
      <c r="P42" s="23339"/>
      <c r="Q42" s="22944"/>
      <c r="R42" s="22944"/>
      <c r="S42" s="22944"/>
      <c r="T42" s="22944"/>
      <c r="U42" s="22944"/>
      <c r="V42" s="22944"/>
      <c r="W42" s="22944"/>
      <c r="X42" s="22944"/>
      <c r="Y42" s="22944"/>
      <c r="Z42" s="22944"/>
      <c r="AA42" s="22944"/>
      <c r="AB42" s="22944"/>
      <c r="AC42" s="22944"/>
      <c r="AD42" s="22944"/>
      <c r="AE42" s="22944"/>
      <c r="AF42" s="22944"/>
      <c r="AG42" s="22944"/>
      <c r="AH42" s="22944">
        <v>0</v>
      </c>
    </row>
    <row s="62286" customFormat="1" customHeight="1" ht="0.75">
      <c r="A43" s="2472"/>
      <c r="B43" s="2472"/>
      <c r="C43" s="1061" t="s">
        <v>1224</v>
      </c>
      <c r="D43" s="3154"/>
      <c r="E43" s="2896"/>
      <c r="F43" s="3075"/>
      <c r="G43" s="1092"/>
      <c r="H43" s="2192"/>
      <c r="I43" s="1343"/>
      <c r="J43" s="1263"/>
      <c r="K43" s="2192"/>
      <c r="L43" s="906"/>
      <c r="M43" s="2862"/>
      <c r="N43" s="1026"/>
      <c r="O43" s="2316"/>
      <c r="P43" s="2316"/>
      <c r="AH43" s="2323">
        <v>0</v>
      </c>
    </row>
    <row s="62286" customFormat="1" customHeight="1" ht="14.25">
      <c r="A44" s="2472" t="s">
        <v>223</v>
      </c>
      <c r="B44" s="2472" t="s">
        <v>224</v>
      </c>
      <c r="C44" s="1061"/>
      <c r="D44" s="3154"/>
      <c r="E44" s="2896"/>
      <c r="F44" s="3075" t="str">
        <f>INDEX(PT_DIFFERENTIATION_VTAR,MATCH(A44,PT_DIFFERENTIATION_VTAR_ID,0))</f>
        <v>Тарифы на теплоноситель, поставляемый теплоснабжающими организациями потребителям, другим теплоснабжающим организациям</v>
      </c>
      <c r="G44" s="3119" t="str">
        <f>INDEX(PT_DIFFERENTIATION_NTAR,MATCH(B44,PT_DIFFERENTIATION_NTAR_ID,0))</f>
        <v>Тарифы на теплоноситель, поставляемый потребителям Артемовского городского округа</v>
      </c>
      <c r="H44" s="2554"/>
      <c r="I44" s="9324">
        <v>45292</v>
      </c>
      <c r="J44" s="9325">
        <v>47118</v>
      </c>
      <c r="K44" s="2557" t="s">
        <v>1223</v>
      </c>
      <c r="L44" s="2554" t="s">
        <v>381</v>
      </c>
      <c r="M44" s="2862"/>
      <c r="N44" s="1026"/>
      <c r="O44" s="2316"/>
      <c r="P44" s="2316"/>
      <c r="AH44" s="2323">
        <v>0</v>
      </c>
    </row>
    <row s="62286" customFormat="1" customHeight="1" ht="18.75">
      <c r="A45" s="2472"/>
      <c r="B45" s="2472"/>
      <c r="C45" s="1061" t="s">
        <v>1217</v>
      </c>
      <c r="D45" s="3154"/>
      <c r="E45" s="2896"/>
      <c r="F45" s="3075"/>
      <c r="G45" s="3119"/>
      <c r="H45" s="2192"/>
      <c r="I45" s="1343" t="s">
        <v>1218</v>
      </c>
      <c r="J45" s="1263"/>
      <c r="K45" s="2192"/>
      <c r="L45" s="906"/>
      <c r="M45" s="2862"/>
      <c r="N45" s="1026"/>
      <c r="O45" s="2316"/>
      <c r="P45" s="2316"/>
      <c r="AH45" s="2323">
        <v>0</v>
      </c>
    </row>
    <row s="62286" customFormat="1" customHeight="1" ht="18.75">
      <c r="A46" s="4421" t="s">
        <v>223</v>
      </c>
      <c r="B46" s="4421" t="s">
        <v>229</v>
      </c>
      <c r="C46" s="5479"/>
      <c r="D46" s="5480"/>
      <c r="E46" s="5481"/>
      <c r="F46" s="5481"/>
      <c r="G46" s="5482" t="str">
        <f>INDEX(PT_DIFFERENTIATION_NTAR,MATCH(B46,PT_DIFFERENTIATION_NTAR_ID,0))</f>
        <v>Тарифы на теплоноситель, поставляемый потребителям Владивостокского городского округа</v>
      </c>
      <c r="H46" s="5483"/>
      <c r="I46" s="9324">
        <v>45292</v>
      </c>
      <c r="J46" s="9325">
        <v>47118</v>
      </c>
      <c r="K46" s="5486" t="s">
        <v>1223</v>
      </c>
      <c r="L46" s="5483" t="s">
        <v>381</v>
      </c>
      <c r="M46" s="5487"/>
      <c r="N46" s="5488"/>
      <c r="O46" s="4431"/>
      <c r="P46" s="4431"/>
      <c r="Q46" s="4432"/>
      <c r="R46" s="4432"/>
      <c r="S46" s="4432"/>
      <c r="T46" s="4432"/>
      <c r="U46" s="4432"/>
      <c r="V46" s="4432"/>
      <c r="W46" s="4432"/>
      <c r="X46" s="4432"/>
      <c r="Y46" s="4432"/>
      <c r="Z46" s="4432"/>
      <c r="AA46" s="4432"/>
      <c r="AB46" s="4432"/>
      <c r="AC46" s="4432"/>
      <c r="AD46" s="4432"/>
      <c r="AE46" s="4432"/>
      <c r="AF46" s="4432"/>
      <c r="AG46" s="4432"/>
      <c r="AH46" s="4432">
        <v>0</v>
      </c>
    </row>
    <row s="62286" customFormat="1" customHeight="1" ht="18.75">
      <c r="A47" s="4421"/>
      <c r="B47" s="4421"/>
      <c r="C47" s="5479" t="s">
        <v>1217</v>
      </c>
      <c r="D47" s="5480"/>
      <c r="E47" s="5481"/>
      <c r="F47" s="5481"/>
      <c r="G47" s="5482"/>
      <c r="H47" s="5489"/>
      <c r="I47" s="5490" t="s">
        <v>1218</v>
      </c>
      <c r="J47" s="5491"/>
      <c r="K47" s="5492"/>
      <c r="L47" s="5493"/>
      <c r="M47" s="5487"/>
      <c r="N47" s="5488"/>
      <c r="O47" s="4431"/>
      <c r="P47" s="4431"/>
      <c r="Q47" s="4432"/>
      <c r="R47" s="4432"/>
      <c r="S47" s="4432"/>
      <c r="T47" s="4432"/>
      <c r="U47" s="4432"/>
      <c r="V47" s="4432"/>
      <c r="W47" s="4432"/>
      <c r="X47" s="4432"/>
      <c r="Y47" s="4432"/>
      <c r="Z47" s="4432"/>
      <c r="AA47" s="4432"/>
      <c r="AB47" s="4432"/>
      <c r="AC47" s="4432"/>
      <c r="AD47" s="4432"/>
      <c r="AE47" s="4432"/>
      <c r="AF47" s="4432"/>
      <c r="AG47" s="4432"/>
      <c r="AH47" s="4432">
        <v>0</v>
      </c>
    </row>
    <row s="62286" customFormat="1" customHeight="1" ht="18.75">
      <c r="A48" s="4421" t="s">
        <v>223</v>
      </c>
      <c r="B48" s="4421" t="s">
        <v>234</v>
      </c>
      <c r="C48" s="5479"/>
      <c r="D48" s="5480"/>
      <c r="E48" s="5481"/>
      <c r="F48" s="5481"/>
      <c r="G48" s="5482" t="str">
        <f>INDEX(PT_DIFFERENTIATION_NTAR,MATCH(B48,PT_DIFFERENTIATION_NTAR_ID,0))</f>
        <v>Тарифы на теплоноситель, поставляемый потребителям Партизанского городского округа</v>
      </c>
      <c r="H48" s="5483"/>
      <c r="I48" s="9324">
        <v>45292</v>
      </c>
      <c r="J48" s="9325">
        <v>47118</v>
      </c>
      <c r="K48" s="5486" t="s">
        <v>1223</v>
      </c>
      <c r="L48" s="5483" t="s">
        <v>381</v>
      </c>
      <c r="M48" s="5487"/>
      <c r="N48" s="5488"/>
      <c r="O48" s="4431"/>
      <c r="P48" s="4431"/>
      <c r="Q48" s="4432"/>
      <c r="R48" s="4432"/>
      <c r="S48" s="4432"/>
      <c r="T48" s="4432"/>
      <c r="U48" s="4432"/>
      <c r="V48" s="4432"/>
      <c r="W48" s="4432"/>
      <c r="X48" s="4432"/>
      <c r="Y48" s="4432"/>
      <c r="Z48" s="4432"/>
      <c r="AA48" s="4432"/>
      <c r="AB48" s="4432"/>
      <c r="AC48" s="4432"/>
      <c r="AD48" s="4432"/>
      <c r="AE48" s="4432"/>
      <c r="AF48" s="4432"/>
      <c r="AG48" s="4432"/>
      <c r="AH48" s="4432">
        <v>0</v>
      </c>
    </row>
    <row s="62286" customFormat="1" customHeight="1" ht="18.75">
      <c r="A49" s="4421"/>
      <c r="B49" s="4421"/>
      <c r="C49" s="5479" t="s">
        <v>1217</v>
      </c>
      <c r="D49" s="5480"/>
      <c r="E49" s="5481"/>
      <c r="F49" s="5481"/>
      <c r="G49" s="5482"/>
      <c r="H49" s="5494"/>
      <c r="I49" s="5495" t="s">
        <v>1218</v>
      </c>
      <c r="J49" s="5496"/>
      <c r="K49" s="5497"/>
      <c r="L49" s="5498"/>
      <c r="M49" s="5487"/>
      <c r="N49" s="5488"/>
      <c r="O49" s="4431"/>
      <c r="P49" s="4431"/>
      <c r="Q49" s="4432"/>
      <c r="R49" s="4432"/>
      <c r="S49" s="4432"/>
      <c r="T49" s="4432"/>
      <c r="U49" s="4432"/>
      <c r="V49" s="4432"/>
      <c r="W49" s="4432"/>
      <c r="X49" s="4432"/>
      <c r="Y49" s="4432"/>
      <c r="Z49" s="4432"/>
      <c r="AA49" s="4432"/>
      <c r="AB49" s="4432"/>
      <c r="AC49" s="4432"/>
      <c r="AD49" s="4432"/>
      <c r="AE49" s="4432"/>
      <c r="AF49" s="4432"/>
      <c r="AG49" s="4432"/>
      <c r="AH49" s="4432">
        <v>0</v>
      </c>
    </row>
    <row s="62286" customFormat="1" customHeight="1" ht="0.75">
      <c r="A50" s="2472"/>
      <c r="B50" s="2472"/>
      <c r="C50" s="1061" t="s">
        <v>1224</v>
      </c>
      <c r="D50" s="3154"/>
      <c r="E50" s="2896"/>
      <c r="F50" s="3075"/>
      <c r="G50" s="1092"/>
      <c r="H50" s="2192"/>
      <c r="I50" s="1343"/>
      <c r="J50" s="1263"/>
      <c r="K50" s="2192"/>
      <c r="L50" s="906"/>
      <c r="M50" s="2862"/>
      <c r="N50" s="1026"/>
      <c r="O50" s="2316"/>
      <c r="P50" s="2316"/>
      <c r="AH50" s="2323">
        <v>0</v>
      </c>
    </row>
    <row s="62286" customFormat="1" customHeight="1" ht="14.25">
      <c r="A51" s="2472" t="s">
        <v>240</v>
      </c>
      <c r="B51" s="2472" t="s">
        <v>241</v>
      </c>
      <c r="C51" s="1061"/>
      <c r="D51" s="3154"/>
      <c r="E51" s="2896"/>
      <c r="F51" s="3075" t="str">
        <f>INDEX(PT_DIFFERENTIATION_VTAR,MATCH(A51,PT_DIFFERENTIATION_VTAR_ID,0))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51" s="3119" t="str">
        <f>INDEX(PT_DIFFERENTIATION_NTAR,MATCH(B51,PT_DIFFERENTIATION_NTAR_ID,0))</f>
        <v>Тарифы на горячую воду в открытых системах теплоснабжения (горячего водоснабжения) на территории Артемовского городского округа</v>
      </c>
      <c r="H51" s="2554"/>
      <c r="I51" s="9324">
        <v>45292</v>
      </c>
      <c r="J51" s="9325">
        <v>47118</v>
      </c>
      <c r="K51" s="2557" t="s">
        <v>1223</v>
      </c>
      <c r="L51" s="2554" t="s">
        <v>381</v>
      </c>
      <c r="M51" s="2862"/>
      <c r="N51" s="1026"/>
      <c r="O51" s="2316"/>
      <c r="P51" s="2316"/>
      <c r="AH51" s="2323">
        <v>0</v>
      </c>
    </row>
    <row s="62286" customFormat="1" customHeight="1" ht="18.75">
      <c r="A52" s="2472"/>
      <c r="B52" s="2472"/>
      <c r="C52" s="1061" t="s">
        <v>1217</v>
      </c>
      <c r="D52" s="3154"/>
      <c r="E52" s="2896"/>
      <c r="F52" s="3075"/>
      <c r="G52" s="3119"/>
      <c r="H52" s="2192"/>
      <c r="I52" s="1343" t="s">
        <v>1218</v>
      </c>
      <c r="J52" s="1263"/>
      <c r="K52" s="2192"/>
      <c r="L52" s="906"/>
      <c r="M52" s="2862"/>
      <c r="N52" s="1026"/>
      <c r="O52" s="2316"/>
      <c r="P52" s="2316"/>
      <c r="AH52" s="2323">
        <v>0</v>
      </c>
    </row>
    <row s="62286" customFormat="1" customHeight="1" ht="18.75">
      <c r="A53" s="8094" t="s">
        <v>240</v>
      </c>
      <c r="B53" s="8094" t="s">
        <v>246</v>
      </c>
      <c r="C53" s="9344"/>
      <c r="D53" s="9345"/>
      <c r="E53" s="9346"/>
      <c r="F53" s="9346"/>
      <c r="G53" s="9347" t="str">
        <f>INDEX(PT_DIFFERENTIATION_NTAR,MATCH(B53,PT_DIFFERENTIATION_NTAR_ID,0))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53" s="7450"/>
      <c r="I53" s="9324">
        <v>45292</v>
      </c>
      <c r="J53" s="9325">
        <v>47118</v>
      </c>
      <c r="K53" s="9348" t="s">
        <v>1223</v>
      </c>
      <c r="L53" s="7450" t="s">
        <v>381</v>
      </c>
      <c r="M53" s="7985"/>
      <c r="N53" s="9349"/>
      <c r="O53" s="8100"/>
      <c r="P53" s="8100"/>
      <c r="Q53" s="7330"/>
      <c r="R53" s="7330"/>
      <c r="S53" s="7330"/>
      <c r="T53" s="7330"/>
      <c r="U53" s="7330"/>
      <c r="V53" s="7330"/>
      <c r="W53" s="7330"/>
      <c r="X53" s="7330"/>
      <c r="Y53" s="7330"/>
      <c r="Z53" s="7330"/>
      <c r="AA53" s="7330"/>
      <c r="AB53" s="7330"/>
      <c r="AC53" s="7330"/>
      <c r="AD53" s="7330"/>
      <c r="AE53" s="7330"/>
      <c r="AF53" s="7330"/>
      <c r="AG53" s="7330"/>
      <c r="AH53" s="7330">
        <v>0</v>
      </c>
    </row>
    <row s="62286" customFormat="1" customHeight="1" ht="18.75">
      <c r="A54" s="8094"/>
      <c r="B54" s="8094"/>
      <c r="C54" s="9344" t="s">
        <v>1217</v>
      </c>
      <c r="D54" s="9345"/>
      <c r="E54" s="9346"/>
      <c r="F54" s="9346"/>
      <c r="G54" s="9347"/>
      <c r="H54" s="9350"/>
      <c r="I54" s="9351" t="s">
        <v>1218</v>
      </c>
      <c r="J54" s="9352"/>
      <c r="K54" s="9353"/>
      <c r="L54" s="9354"/>
      <c r="M54" s="7985"/>
      <c r="N54" s="9349"/>
      <c r="O54" s="8100"/>
      <c r="P54" s="8100"/>
      <c r="Q54" s="7330"/>
      <c r="R54" s="7330"/>
      <c r="S54" s="7330"/>
      <c r="T54" s="7330"/>
      <c r="U54" s="7330"/>
      <c r="V54" s="7330"/>
      <c r="W54" s="7330"/>
      <c r="X54" s="7330"/>
      <c r="Y54" s="7330"/>
      <c r="Z54" s="7330"/>
      <c r="AA54" s="7330"/>
      <c r="AB54" s="7330"/>
      <c r="AC54" s="7330"/>
      <c r="AD54" s="7330"/>
      <c r="AE54" s="7330"/>
      <c r="AF54" s="7330"/>
      <c r="AG54" s="7330"/>
      <c r="AH54" s="7330">
        <v>0</v>
      </c>
    </row>
    <row s="62286" customFormat="1" customHeight="1" ht="18.75">
      <c r="A55" s="8094" t="s">
        <v>240</v>
      </c>
      <c r="B55" s="8094" t="s">
        <v>251</v>
      </c>
      <c r="C55" s="9344"/>
      <c r="D55" s="9345"/>
      <c r="E55" s="9346"/>
      <c r="F55" s="9346"/>
      <c r="G55" s="9347" t="str">
        <f>INDEX(PT_DIFFERENTIATION_NTAR,MATCH(B55,PT_DIFFERENTIATION_NTAR_ID,0))</f>
        <v>Тарифы на горячую воду в открытых системах теплоснабжения (горячего водоснабжения) на территории Партизанского городского округа</v>
      </c>
      <c r="H55" s="7450"/>
      <c r="I55" s="9324">
        <v>45292</v>
      </c>
      <c r="J55" s="9325">
        <v>47118</v>
      </c>
      <c r="K55" s="9348" t="s">
        <v>1223</v>
      </c>
      <c r="L55" s="7450" t="s">
        <v>381</v>
      </c>
      <c r="M55" s="7985"/>
      <c r="N55" s="9349"/>
      <c r="O55" s="8100"/>
      <c r="P55" s="8100"/>
      <c r="Q55" s="7330"/>
      <c r="R55" s="7330"/>
      <c r="S55" s="7330"/>
      <c r="T55" s="7330"/>
      <c r="U55" s="7330"/>
      <c r="V55" s="7330"/>
      <c r="W55" s="7330"/>
      <c r="X55" s="7330"/>
      <c r="Y55" s="7330"/>
      <c r="Z55" s="7330"/>
      <c r="AA55" s="7330"/>
      <c r="AB55" s="7330"/>
      <c r="AC55" s="7330"/>
      <c r="AD55" s="7330"/>
      <c r="AE55" s="7330"/>
      <c r="AF55" s="7330"/>
      <c r="AG55" s="7330"/>
      <c r="AH55" s="7330">
        <v>0</v>
      </c>
    </row>
    <row s="62286" customFormat="1" customHeight="1" ht="18.75">
      <c r="A56" s="8094"/>
      <c r="B56" s="8094"/>
      <c r="C56" s="9344" t="s">
        <v>1217</v>
      </c>
      <c r="D56" s="9345"/>
      <c r="E56" s="9346"/>
      <c r="F56" s="9346"/>
      <c r="G56" s="9347"/>
      <c r="H56" s="9355"/>
      <c r="I56" s="9356" t="s">
        <v>1218</v>
      </c>
      <c r="J56" s="9357"/>
      <c r="K56" s="9358"/>
      <c r="L56" s="9359"/>
      <c r="M56" s="7985"/>
      <c r="N56" s="9349"/>
      <c r="O56" s="8100"/>
      <c r="P56" s="8100"/>
      <c r="Q56" s="7330"/>
      <c r="R56" s="7330"/>
      <c r="S56" s="7330"/>
      <c r="T56" s="7330"/>
      <c r="U56" s="7330"/>
      <c r="V56" s="7330"/>
      <c r="W56" s="7330"/>
      <c r="X56" s="7330"/>
      <c r="Y56" s="7330"/>
      <c r="Z56" s="7330"/>
      <c r="AA56" s="7330"/>
      <c r="AB56" s="7330"/>
      <c r="AC56" s="7330"/>
      <c r="AD56" s="7330"/>
      <c r="AE56" s="7330"/>
      <c r="AF56" s="7330"/>
      <c r="AG56" s="7330"/>
      <c r="AH56" s="7330">
        <v>0</v>
      </c>
    </row>
    <row s="62286" customFormat="1" customHeight="1" ht="0.75">
      <c r="A57" s="2472"/>
      <c r="B57" s="2472"/>
      <c r="C57" s="1061" t="s">
        <v>1224</v>
      </c>
      <c r="D57" s="3154"/>
      <c r="E57" s="2896"/>
      <c r="F57" s="3075"/>
      <c r="G57" s="1092"/>
      <c r="H57" s="2192"/>
      <c r="I57" s="1343"/>
      <c r="J57" s="1263"/>
      <c r="K57" s="2192"/>
      <c r="L57" s="906"/>
      <c r="M57" s="2862"/>
      <c r="N57" s="1026"/>
      <c r="O57" s="2316"/>
      <c r="P57" s="2316"/>
      <c r="AH57" s="2323">
        <v>0</v>
      </c>
    </row>
    <row s="62286" customFormat="1" customHeight="1" ht="18.75" hidden="1">
      <c r="A58" s="2472" t="s">
        <v>256</v>
      </c>
      <c r="B58" s="2472" t="s">
        <v>257</v>
      </c>
      <c r="C58" s="1061"/>
      <c r="D58" s="3154"/>
      <c r="E58" s="2896"/>
      <c r="F58" s="3075" t="str">
        <f>INDEX(PT_DIFFERENTIATION_VTAR,MATCH(A58,PT_DIFFERENTIATION_VTAR_ID,0))</f>
        <v>Тарифы на услуги по передаче тепловой энергии</v>
      </c>
      <c r="G58" s="3119" t="str">
        <f>INDEX(PT_DIFFERENTIATION_NTAR,MATCH(B58,PT_DIFFERENTIATION_NTAR_ID,0))</f>
        <v/>
      </c>
      <c r="H58" s="2554"/>
      <c r="I58" s="2431"/>
      <c r="J58" s="2465"/>
      <c r="K58" s="2557"/>
      <c r="L58" s="2554" t="s">
        <v>381</v>
      </c>
      <c r="M58" s="2862"/>
      <c r="N58" s="1026"/>
      <c r="O58" s="2316"/>
      <c r="P58" s="2316"/>
      <c r="AH58" s="2323">
        <v>0</v>
      </c>
    </row>
    <row s="62286" customFormat="1" customHeight="1" ht="18.75" hidden="1">
      <c r="A59" s="2472"/>
      <c r="B59" s="2472"/>
      <c r="C59" s="1061" t="s">
        <v>1217</v>
      </c>
      <c r="D59" s="3154"/>
      <c r="E59" s="2896"/>
      <c r="F59" s="3075"/>
      <c r="G59" s="3119"/>
      <c r="H59" s="2192"/>
      <c r="I59" s="1343" t="s">
        <v>1218</v>
      </c>
      <c r="J59" s="1263"/>
      <c r="K59" s="2192"/>
      <c r="L59" s="906"/>
      <c r="M59" s="2862"/>
      <c r="N59" s="1026"/>
      <c r="O59" s="2316"/>
      <c r="P59" s="2316"/>
      <c r="AH59" s="2323">
        <v>0</v>
      </c>
    </row>
    <row s="62286" customFormat="1" customHeight="1" ht="0.75" hidden="1">
      <c r="A60" s="2472"/>
      <c r="B60" s="2472"/>
      <c r="C60" s="1061" t="s">
        <v>1224</v>
      </c>
      <c r="D60" s="3154"/>
      <c r="E60" s="2896"/>
      <c r="F60" s="3075"/>
      <c r="G60" s="1092"/>
      <c r="H60" s="2192"/>
      <c r="I60" s="1343"/>
      <c r="J60" s="1263"/>
      <c r="K60" s="2192"/>
      <c r="L60" s="906"/>
      <c r="M60" s="2862"/>
      <c r="N60" s="1026"/>
      <c r="O60" s="2316"/>
      <c r="P60" s="2316"/>
      <c r="AH60" s="2323">
        <v>0</v>
      </c>
    </row>
    <row s="62286" customFormat="1" customHeight="1" ht="18.75" hidden="1">
      <c r="A61" s="2472" t="s">
        <v>262</v>
      </c>
      <c r="B61" s="2472" t="s">
        <v>263</v>
      </c>
      <c r="C61" s="1061"/>
      <c r="D61" s="3154"/>
      <c r="E61" s="2896"/>
      <c r="F61" s="3075" t="str">
        <f>INDEX(PT_DIFFERENTIATION_VTAR,MATCH(A61,PT_DIFFERENTIATION_VTAR_ID,0))</f>
        <v>Тарифы на услуги по передаче теплоносителя</v>
      </c>
      <c r="G61" s="3119" t="str">
        <f>INDEX(PT_DIFFERENTIATION_NTAR,MATCH(B61,PT_DIFFERENTIATION_NTAR_ID,0))</f>
        <v/>
      </c>
      <c r="H61" s="2554"/>
      <c r="I61" s="2431"/>
      <c r="J61" s="2465"/>
      <c r="K61" s="2557"/>
      <c r="L61" s="2554" t="s">
        <v>381</v>
      </c>
      <c r="M61" s="2862"/>
      <c r="N61" s="1026"/>
      <c r="O61" s="2316"/>
      <c r="P61" s="2316"/>
      <c r="AH61" s="2323">
        <v>0</v>
      </c>
    </row>
    <row s="62286" customFormat="1" customHeight="1" ht="18.75" hidden="1">
      <c r="A62" s="2472"/>
      <c r="B62" s="2472"/>
      <c r="C62" s="1061" t="s">
        <v>1217</v>
      </c>
      <c r="D62" s="3154"/>
      <c r="E62" s="2896"/>
      <c r="F62" s="3075"/>
      <c r="G62" s="3119"/>
      <c r="H62" s="2192"/>
      <c r="I62" s="1343" t="s">
        <v>1218</v>
      </c>
      <c r="J62" s="1263"/>
      <c r="K62" s="2192"/>
      <c r="L62" s="906"/>
      <c r="M62" s="2862"/>
      <c r="N62" s="1026"/>
      <c r="O62" s="2316"/>
      <c r="P62" s="2316"/>
      <c r="AH62" s="2323">
        <v>0</v>
      </c>
    </row>
    <row s="62286" customFormat="1" customHeight="1" ht="0.75" hidden="1">
      <c r="A63" s="2472"/>
      <c r="B63" s="2472"/>
      <c r="C63" s="1061" t="s">
        <v>1224</v>
      </c>
      <c r="D63" s="3154"/>
      <c r="E63" s="2896"/>
      <c r="F63" s="3075"/>
      <c r="G63" s="1092"/>
      <c r="H63" s="2192"/>
      <c r="I63" s="1343"/>
      <c r="J63" s="1263"/>
      <c r="K63" s="2192"/>
      <c r="L63" s="906"/>
      <c r="M63" s="2862"/>
      <c r="N63" s="1026"/>
      <c r="O63" s="2316"/>
      <c r="P63" s="2316"/>
      <c r="AH63" s="2323">
        <v>0</v>
      </c>
    </row>
    <row s="62286" customFormat="1" customHeight="1" ht="18.75" hidden="1">
      <c r="A64" s="2472" t="s">
        <v>268</v>
      </c>
      <c r="B64" s="2472" t="s">
        <v>269</v>
      </c>
      <c r="C64" s="1061"/>
      <c r="D64" s="3154"/>
      <c r="E64" s="2896"/>
      <c r="F64" s="3075" t="str">
        <f>INDEX(PT_DIFFERENTIATION_VTAR,MATCH(A64,PT_DIFFERENTIATION_VTAR_ID,0))</f>
        <v>Плата за услуги по поддержанию резервной тепловой мощности при отсутствии потребления тепловой энергии</v>
      </c>
      <c r="G64" s="3119" t="str">
        <f>INDEX(PT_DIFFERENTIATION_NTAR,MATCH(B64,PT_DIFFERENTIATION_NTAR_ID,0))</f>
        <v/>
      </c>
      <c r="H64" s="2554"/>
      <c r="I64" s="2431"/>
      <c r="J64" s="2465"/>
      <c r="K64" s="2557"/>
      <c r="L64" s="2554" t="s">
        <v>381</v>
      </c>
      <c r="M64" s="2862"/>
      <c r="N64" s="1026"/>
      <c r="O64" s="2316"/>
      <c r="P64" s="2316"/>
      <c r="AH64" s="2323">
        <v>0</v>
      </c>
    </row>
    <row s="62286" customFormat="1" customHeight="1" ht="18.75" hidden="1">
      <c r="A65" s="2472"/>
      <c r="B65" s="2472"/>
      <c r="C65" s="1061" t="s">
        <v>1217</v>
      </c>
      <c r="D65" s="3154"/>
      <c r="E65" s="2896"/>
      <c r="F65" s="3075"/>
      <c r="G65" s="3119"/>
      <c r="H65" s="2192"/>
      <c r="I65" s="1343" t="s">
        <v>1218</v>
      </c>
      <c r="J65" s="1263"/>
      <c r="K65" s="2192"/>
      <c r="L65" s="906"/>
      <c r="M65" s="2862"/>
      <c r="N65" s="1026"/>
      <c r="O65" s="2316"/>
      <c r="P65" s="2316"/>
      <c r="AH65" s="2323">
        <v>0</v>
      </c>
    </row>
    <row s="62286" customFormat="1" customHeight="1" ht="0.75" hidden="1">
      <c r="A66" s="2472"/>
      <c r="B66" s="2472"/>
      <c r="C66" s="1061" t="s">
        <v>1224</v>
      </c>
      <c r="D66" s="3154"/>
      <c r="E66" s="2896"/>
      <c r="F66" s="3075"/>
      <c r="G66" s="1092"/>
      <c r="H66" s="2192"/>
      <c r="I66" s="1343"/>
      <c r="J66" s="1263"/>
      <c r="K66" s="2192"/>
      <c r="L66" s="906"/>
      <c r="M66" s="2862"/>
      <c r="N66" s="1026"/>
      <c r="O66" s="2316"/>
      <c r="P66" s="2316"/>
      <c r="AH66" s="2323">
        <v>0</v>
      </c>
    </row>
    <row s="62286" customFormat="1" customHeight="1" ht="18.75" hidden="1">
      <c r="A67" s="2472" t="s">
        <v>274</v>
      </c>
      <c r="B67" s="2472" t="s">
        <v>275</v>
      </c>
      <c r="C67" s="1061"/>
      <c r="D67" s="3154"/>
      <c r="E67" s="2896"/>
      <c r="F67" s="3075" t="str">
        <f>INDEX(PT_DIFFERENTIATION_VTAR,MATCH(A67,PT_DIFFERENTIATION_VTAR_ID,0))</f>
        <v>Плата за подключение (технологическое присоединение) к системе теплоснабжения</v>
      </c>
      <c r="G67" s="3119" t="str">
        <f>INDEX(PT_DIFFERENTIATION_NTAR,MATCH(B67,PT_DIFFERENTIATION_NTAR_ID,0))</f>
        <v/>
      </c>
      <c r="H67" s="2554"/>
      <c r="I67" s="2431"/>
      <c r="J67" s="2465"/>
      <c r="K67" s="2557"/>
      <c r="L67" s="2554" t="s">
        <v>381</v>
      </c>
      <c r="M67" s="2862"/>
      <c r="N67" s="1026"/>
      <c r="O67" s="2316"/>
      <c r="P67" s="2316"/>
      <c r="AH67" s="2323">
        <v>0</v>
      </c>
    </row>
    <row s="62286" customFormat="1" customHeight="1" ht="18.75" hidden="1">
      <c r="A68" s="2472"/>
      <c r="B68" s="2472"/>
      <c r="C68" s="1061" t="s">
        <v>1217</v>
      </c>
      <c r="D68" s="3154"/>
      <c r="E68" s="2896"/>
      <c r="F68" s="3075"/>
      <c r="G68" s="3119"/>
      <c r="H68" s="2192"/>
      <c r="I68" s="1343" t="s">
        <v>1218</v>
      </c>
      <c r="J68" s="1263"/>
      <c r="K68" s="2192"/>
      <c r="L68" s="906"/>
      <c r="M68" s="2862"/>
      <c r="N68" s="1026"/>
      <c r="O68" s="2316"/>
      <c r="P68" s="2316"/>
      <c r="AH68" s="2323">
        <v>0</v>
      </c>
    </row>
    <row s="62286" customFormat="1" customHeight="1" ht="0.75" hidden="1">
      <c r="A69" s="2472"/>
      <c r="B69" s="2472"/>
      <c r="C69" s="1061" t="s">
        <v>1224</v>
      </c>
      <c r="D69" s="3154"/>
      <c r="E69" s="2896"/>
      <c r="F69" s="3075"/>
      <c r="G69" s="1092"/>
      <c r="H69" s="2192"/>
      <c r="I69" s="1343"/>
      <c r="J69" s="1263"/>
      <c r="K69" s="2192"/>
      <c r="L69" s="906"/>
      <c r="M69" s="2862"/>
      <c r="N69" s="1026"/>
      <c r="O69" s="2316"/>
      <c r="P69" s="2316"/>
      <c r="AH69" s="2323">
        <v>0</v>
      </c>
    </row>
    <row s="62286" customFormat="1" customHeight="1" ht="18.75" hidden="1">
      <c r="A70" s="2472" t="s">
        <v>280</v>
      </c>
      <c r="B70" s="2472" t="s">
        <v>281</v>
      </c>
      <c r="C70" s="1061"/>
      <c r="D70" s="3154"/>
      <c r="E70" s="2896"/>
      <c r="F70" s="3075" t="str">
        <f>INDEX(PT_DIFFERENTIATION_VTAR,MATCH(A70,PT_DIFFERENTIATION_VTAR_ID,0))</f>
        <v>Плата за подключение (технологическое присоединение) к системе теплоснабжения (индивидуальная)</v>
      </c>
      <c r="G70" s="3119" t="str">
        <f>INDEX(PT_DIFFERENTIATION_NTAR,MATCH(B70,PT_DIFFERENTIATION_NTAR_ID,0))</f>
        <v/>
      </c>
      <c r="H70" s="2681"/>
      <c r="I70" s="2431"/>
      <c r="J70" s="2465"/>
      <c r="K70" s="2557"/>
      <c r="L70" s="2681" t="s">
        <v>381</v>
      </c>
      <c r="M70" s="2862"/>
      <c r="N70" s="1026"/>
      <c r="O70" s="2316"/>
      <c r="P70" s="2316"/>
      <c r="AH70" s="2323">
        <v>0</v>
      </c>
    </row>
    <row s="62286" customFormat="1" customHeight="1" ht="18.75" hidden="1">
      <c r="A71" s="2472"/>
      <c r="B71" s="2472"/>
      <c r="C71" s="1061" t="s">
        <v>1217</v>
      </c>
      <c r="D71" s="3154"/>
      <c r="E71" s="2896"/>
      <c r="F71" s="3075"/>
      <c r="G71" s="3119"/>
      <c r="H71" s="2192"/>
      <c r="I71" s="1343" t="s">
        <v>1218</v>
      </c>
      <c r="J71" s="1263"/>
      <c r="K71" s="2192"/>
      <c r="L71" s="906"/>
      <c r="M71" s="2862"/>
      <c r="N71" s="1026"/>
      <c r="O71" s="2316"/>
      <c r="P71" s="2316"/>
      <c r="AH71" s="2323">
        <v>0</v>
      </c>
    </row>
    <row s="62286" customFormat="1" customHeight="1" ht="0.75" hidden="1">
      <c r="A72" s="2472"/>
      <c r="B72" s="2472"/>
      <c r="C72" s="1061" t="s">
        <v>1224</v>
      </c>
      <c r="D72" s="3154"/>
      <c r="E72" s="2896"/>
      <c r="F72" s="3075"/>
      <c r="G72" s="1092"/>
      <c r="H72" s="2192"/>
      <c r="I72" s="1343"/>
      <c r="J72" s="1263"/>
      <c r="K72" s="2192"/>
      <c r="L72" s="906"/>
      <c r="M72" s="2862"/>
      <c r="N72" s="1026"/>
      <c r="O72" s="2316"/>
      <c r="P72" s="2316"/>
      <c r="AH72" s="2323">
        <v>0</v>
      </c>
    </row>
    <row s="62286" customFormat="1" customHeight="1" ht="18.75" hidden="1">
      <c r="A73" s="2472" t="s">
        <v>300</v>
      </c>
      <c r="B73" s="2472" t="s">
        <v>301</v>
      </c>
      <c r="C73" s="1061"/>
      <c r="D73" s="3154"/>
      <c r="E73" s="2896"/>
      <c r="F73" s="3075" t="str">
        <f>INDEX(PT_DIFFERENTIATION_VTAR,MATCH(A73,PT_DIFFERENTIATION_VTAR_ID,0))</f>
        <v>Тариф на питьевую воду (питьевое водоснабжение)</v>
      </c>
      <c r="G73" s="3119" t="str">
        <f>INDEX(PT_DIFFERENTIATION_NTAR,MATCH(B73,PT_DIFFERENTIATION_NTAR_ID,0))</f>
        <v/>
      </c>
      <c r="H73" s="2554"/>
      <c r="I73" s="2431"/>
      <c r="J73" s="2465"/>
      <c r="K73" s="2557"/>
      <c r="L73" s="2554" t="s">
        <v>381</v>
      </c>
      <c r="M73" s="2862"/>
      <c r="N73" s="1026"/>
      <c r="O73" s="2316"/>
      <c r="P73" s="2316"/>
      <c r="AH73" s="2323">
        <v>0</v>
      </c>
    </row>
    <row s="62286" customFormat="1" customHeight="1" ht="18.75" hidden="1">
      <c r="A74" s="2472"/>
      <c r="B74" s="2472"/>
      <c r="C74" s="1061" t="s">
        <v>1217</v>
      </c>
      <c r="D74" s="3154"/>
      <c r="E74" s="2896"/>
      <c r="F74" s="3075"/>
      <c r="G74" s="3119"/>
      <c r="H74" s="2192"/>
      <c r="I74" s="1343" t="s">
        <v>1218</v>
      </c>
      <c r="J74" s="1263"/>
      <c r="K74" s="2192"/>
      <c r="L74" s="906"/>
      <c r="M74" s="2862"/>
      <c r="N74" s="1026"/>
      <c r="O74" s="2316"/>
      <c r="P74" s="2316"/>
      <c r="AH74" s="2323">
        <v>0</v>
      </c>
    </row>
    <row s="62286" customFormat="1" customHeight="1" ht="0.75" hidden="1">
      <c r="A75" s="2472"/>
      <c r="B75" s="2472"/>
      <c r="C75" s="1061" t="s">
        <v>1224</v>
      </c>
      <c r="D75" s="3154"/>
      <c r="E75" s="2896"/>
      <c r="F75" s="3075"/>
      <c r="G75" s="1092"/>
      <c r="H75" s="2192"/>
      <c r="I75" s="1343"/>
      <c r="J75" s="1263"/>
      <c r="K75" s="2192"/>
      <c r="L75" s="906"/>
      <c r="M75" s="2862"/>
      <c r="N75" s="1026"/>
      <c r="O75" s="2316"/>
      <c r="P75" s="2316"/>
      <c r="AH75" s="2323">
        <v>0</v>
      </c>
    </row>
    <row s="62286" customFormat="1" customHeight="1" ht="18.75" hidden="1">
      <c r="A76" s="2472" t="s">
        <v>305</v>
      </c>
      <c r="B76" s="2472" t="s">
        <v>306</v>
      </c>
      <c r="C76" s="1061"/>
      <c r="D76" s="3154"/>
      <c r="E76" s="2896"/>
      <c r="F76" s="3075" t="str">
        <f>INDEX(PT_DIFFERENTIATION_VTAR,MATCH(A76,PT_DIFFERENTIATION_VTAR_ID,0))</f>
        <v>Тариф на техническую воду</v>
      </c>
      <c r="G76" s="3119" t="str">
        <f>INDEX(PT_DIFFERENTIATION_NTAR,MATCH(B76,PT_DIFFERENTIATION_NTAR_ID,0))</f>
        <v/>
      </c>
      <c r="H76" s="2554"/>
      <c r="I76" s="2431"/>
      <c r="J76" s="2465"/>
      <c r="K76" s="2557"/>
      <c r="L76" s="2554" t="s">
        <v>381</v>
      </c>
      <c r="M76" s="2862"/>
      <c r="N76" s="1026"/>
      <c r="O76" s="2316"/>
      <c r="P76" s="2316"/>
      <c r="AH76" s="2323">
        <v>0</v>
      </c>
    </row>
    <row s="62286" customFormat="1" customHeight="1" ht="18.75" hidden="1">
      <c r="A77" s="2472"/>
      <c r="B77" s="2472"/>
      <c r="C77" s="1061" t="s">
        <v>1217</v>
      </c>
      <c r="D77" s="3154"/>
      <c r="E77" s="2896"/>
      <c r="F77" s="3075"/>
      <c r="G77" s="3119"/>
      <c r="H77" s="2192"/>
      <c r="I77" s="1343" t="s">
        <v>1218</v>
      </c>
      <c r="J77" s="1263"/>
      <c r="K77" s="2192"/>
      <c r="L77" s="906"/>
      <c r="M77" s="2862"/>
      <c r="N77" s="1026"/>
      <c r="O77" s="2316"/>
      <c r="P77" s="2316"/>
      <c r="AH77" s="2323">
        <v>0</v>
      </c>
    </row>
    <row s="62286" customFormat="1" customHeight="1" ht="0.75" hidden="1">
      <c r="A78" s="2472"/>
      <c r="B78" s="2472"/>
      <c r="C78" s="1061" t="s">
        <v>1224</v>
      </c>
      <c r="D78" s="3154"/>
      <c r="E78" s="2896"/>
      <c r="F78" s="3075"/>
      <c r="G78" s="1092"/>
      <c r="H78" s="2192"/>
      <c r="I78" s="1343"/>
      <c r="J78" s="1263"/>
      <c r="K78" s="2192"/>
      <c r="L78" s="906"/>
      <c r="M78" s="2862"/>
      <c r="N78" s="1026"/>
      <c r="O78" s="2316"/>
      <c r="P78" s="2316"/>
      <c r="AH78" s="2323">
        <v>0</v>
      </c>
    </row>
    <row s="62286" customFormat="1" customHeight="1" ht="18.75" hidden="1">
      <c r="A79" s="2472" t="s">
        <v>310</v>
      </c>
      <c r="B79" s="2472" t="s">
        <v>311</v>
      </c>
      <c r="C79" s="1061"/>
      <c r="D79" s="3154"/>
      <c r="E79" s="2896"/>
      <c r="F79" s="3075" t="str">
        <f>INDEX(PT_DIFFERENTIATION_VTAR,MATCH(A79,PT_DIFFERENTIATION_VTAR_ID,0))</f>
        <v>Тариф на транспортировку воды</v>
      </c>
      <c r="G79" s="3119" t="str">
        <f>INDEX(PT_DIFFERENTIATION_NTAR,MATCH(B79,PT_DIFFERENTIATION_NTAR_ID,0))</f>
        <v/>
      </c>
      <c r="H79" s="2554"/>
      <c r="I79" s="2431"/>
      <c r="J79" s="2465"/>
      <c r="K79" s="2557"/>
      <c r="L79" s="2554" t="s">
        <v>381</v>
      </c>
      <c r="M79" s="2862"/>
      <c r="N79" s="1026"/>
      <c r="O79" s="2316"/>
      <c r="P79" s="2316"/>
      <c r="AH79" s="2323">
        <v>0</v>
      </c>
    </row>
    <row s="62286" customFormat="1" customHeight="1" ht="18.75" hidden="1">
      <c r="A80" s="2472"/>
      <c r="B80" s="2472"/>
      <c r="C80" s="1061" t="s">
        <v>1217</v>
      </c>
      <c r="D80" s="3154"/>
      <c r="E80" s="2896"/>
      <c r="F80" s="3075"/>
      <c r="G80" s="3119"/>
      <c r="H80" s="2192"/>
      <c r="I80" s="1343" t="s">
        <v>1218</v>
      </c>
      <c r="J80" s="1263"/>
      <c r="K80" s="2192"/>
      <c r="L80" s="906"/>
      <c r="M80" s="2862"/>
      <c r="N80" s="1026"/>
      <c r="O80" s="2316"/>
      <c r="P80" s="2316"/>
      <c r="AH80" s="2323">
        <v>0</v>
      </c>
    </row>
    <row s="62286" customFormat="1" customHeight="1" ht="0.75" hidden="1">
      <c r="A81" s="2472"/>
      <c r="B81" s="2472"/>
      <c r="C81" s="1061" t="s">
        <v>1224</v>
      </c>
      <c r="D81" s="3154"/>
      <c r="E81" s="2896"/>
      <c r="F81" s="3075"/>
      <c r="G81" s="1092"/>
      <c r="H81" s="2192"/>
      <c r="I81" s="1343"/>
      <c r="J81" s="1263"/>
      <c r="K81" s="2192"/>
      <c r="L81" s="906"/>
      <c r="M81" s="2862"/>
      <c r="N81" s="1026"/>
      <c r="O81" s="2316"/>
      <c r="P81" s="2316"/>
      <c r="AH81" s="2323">
        <v>0</v>
      </c>
    </row>
    <row s="62286" customFormat="1" customHeight="1" ht="18.75" hidden="1">
      <c r="A82" s="2472" t="s">
        <v>315</v>
      </c>
      <c r="B82" s="2472" t="s">
        <v>316</v>
      </c>
      <c r="C82" s="1061"/>
      <c r="D82" s="3154"/>
      <c r="E82" s="2896"/>
      <c r="F82" s="3075" t="str">
        <f>INDEX(PT_DIFFERENTIATION_VTAR,MATCH(A82,PT_DIFFERENTIATION_VTAR_ID,0))</f>
        <v>Тариф на подвоз воды</v>
      </c>
      <c r="G82" s="3119" t="str">
        <f>INDEX(PT_DIFFERENTIATION_NTAR,MATCH(B82,PT_DIFFERENTIATION_NTAR_ID,0))</f>
        <v/>
      </c>
      <c r="H82" s="2554"/>
      <c r="I82" s="2431"/>
      <c r="J82" s="2465"/>
      <c r="K82" s="2557"/>
      <c r="L82" s="2554" t="s">
        <v>381</v>
      </c>
      <c r="M82" s="2862"/>
      <c r="N82" s="1026"/>
      <c r="O82" s="2316"/>
      <c r="P82" s="2316"/>
      <c r="AH82" s="2323">
        <v>0</v>
      </c>
    </row>
    <row s="62286" customFormat="1" customHeight="1" ht="18.75" hidden="1">
      <c r="A83" s="2472"/>
      <c r="B83" s="2472"/>
      <c r="C83" s="1061" t="s">
        <v>1217</v>
      </c>
      <c r="D83" s="3154"/>
      <c r="E83" s="2896"/>
      <c r="F83" s="3075"/>
      <c r="G83" s="3119"/>
      <c r="H83" s="2192"/>
      <c r="I83" s="1343" t="s">
        <v>1218</v>
      </c>
      <c r="J83" s="1263"/>
      <c r="K83" s="2192"/>
      <c r="L83" s="906"/>
      <c r="M83" s="2862"/>
      <c r="N83" s="1026"/>
      <c r="O83" s="2316"/>
      <c r="P83" s="2316"/>
      <c r="AH83" s="2323">
        <v>0</v>
      </c>
    </row>
    <row s="62286" customFormat="1" customHeight="1" ht="0.75" hidden="1">
      <c r="A84" s="2472"/>
      <c r="B84" s="2472"/>
      <c r="C84" s="1061" t="s">
        <v>1224</v>
      </c>
      <c r="D84" s="3154"/>
      <c r="E84" s="2896"/>
      <c r="F84" s="3075"/>
      <c r="G84" s="1092"/>
      <c r="H84" s="2192"/>
      <c r="I84" s="1343"/>
      <c r="J84" s="1263"/>
      <c r="K84" s="2192"/>
      <c r="L84" s="906"/>
      <c r="M84" s="2862"/>
      <c r="N84" s="1026"/>
      <c r="O84" s="2316"/>
      <c r="P84" s="2316"/>
      <c r="AH84" s="2323">
        <v>0</v>
      </c>
    </row>
    <row s="62286" customFormat="1" customHeight="1" ht="18.75" hidden="1">
      <c r="A85" s="2472" t="s">
        <v>320</v>
      </c>
      <c r="B85" s="2472" t="s">
        <v>321</v>
      </c>
      <c r="C85" s="1061"/>
      <c r="D85" s="3154"/>
      <c r="E85" s="2896"/>
      <c r="F85" s="3075" t="str">
        <f>INDEX(PT_DIFFERENTIATION_VTAR,MATCH(A85,PT_DIFFERENTIATION_VTAR_ID,0))</f>
        <v>Тариф на подключение (технологическое присоединение) к централизованной системе холодного водоснабжения</v>
      </c>
      <c r="G85" s="3119" t="str">
        <f>INDEX(PT_DIFFERENTIATION_NTAR,MATCH(B85,PT_DIFFERENTIATION_NTAR_ID,0))</f>
        <v/>
      </c>
      <c r="H85" s="2554"/>
      <c r="I85" s="2431"/>
      <c r="J85" s="2465"/>
      <c r="K85" s="2557"/>
      <c r="L85" s="2554" t="s">
        <v>381</v>
      </c>
      <c r="M85" s="2862"/>
      <c r="N85" s="1026"/>
      <c r="O85" s="2316"/>
      <c r="P85" s="2316"/>
      <c r="AH85" s="2323">
        <v>0</v>
      </c>
    </row>
    <row s="62286" customFormat="1" customHeight="1" ht="18.75" hidden="1">
      <c r="A86" s="2472"/>
      <c r="B86" s="2472"/>
      <c r="C86" s="1061" t="s">
        <v>1217</v>
      </c>
      <c r="D86" s="3154"/>
      <c r="E86" s="2896"/>
      <c r="F86" s="3075"/>
      <c r="G86" s="3119"/>
      <c r="H86" s="2192"/>
      <c r="I86" s="1343" t="s">
        <v>1218</v>
      </c>
      <c r="J86" s="1263"/>
      <c r="K86" s="2192"/>
      <c r="L86" s="906"/>
      <c r="M86" s="2862"/>
      <c r="N86" s="1026"/>
      <c r="O86" s="2316"/>
      <c r="P86" s="2316"/>
      <c r="AH86" s="2323">
        <v>0</v>
      </c>
    </row>
    <row s="62286" customFormat="1" customHeight="1" ht="0.75" hidden="1">
      <c r="A87" s="2472"/>
      <c r="B87" s="2472"/>
      <c r="C87" s="1061" t="s">
        <v>1224</v>
      </c>
      <c r="D87" s="3154"/>
      <c r="E87" s="2896"/>
      <c r="F87" s="3075"/>
      <c r="G87" s="1092"/>
      <c r="H87" s="2192"/>
      <c r="I87" s="1343"/>
      <c r="J87" s="1263"/>
      <c r="K87" s="2192"/>
      <c r="L87" s="906"/>
      <c r="M87" s="2862"/>
      <c r="N87" s="1026"/>
      <c r="O87" s="2316"/>
      <c r="P87" s="2316"/>
      <c r="AH87" s="2323">
        <v>0</v>
      </c>
    </row>
    <row s="62286" customFormat="1" customHeight="1" ht="18.75" hidden="1">
      <c r="A88" s="2472" t="s">
        <v>325</v>
      </c>
      <c r="B88" s="2472" t="s">
        <v>326</v>
      </c>
      <c r="C88" s="1061"/>
      <c r="D88" s="3154"/>
      <c r="E88" s="2896"/>
      <c r="F88" s="3075" t="str">
        <f>INDEX(PT_DIFFERENTIATION_VTAR,MATCH(A88,PT_DIFFERENTIATION_VTAR_ID,0))</f>
        <v>Тариф на горячую воду (горячее водоснабжение)</v>
      </c>
      <c r="G88" s="3119" t="str">
        <f>INDEX(PT_DIFFERENTIATION_NTAR,MATCH(B88,PT_DIFFERENTIATION_NTAR_ID,0))</f>
        <v/>
      </c>
      <c r="H88" s="2554"/>
      <c r="I88" s="2431"/>
      <c r="J88" s="2465"/>
      <c r="K88" s="2557"/>
      <c r="L88" s="2554" t="s">
        <v>381</v>
      </c>
      <c r="M88" s="2862"/>
      <c r="N88" s="1026"/>
      <c r="O88" s="2316"/>
      <c r="P88" s="2316"/>
      <c r="AH88" s="2323">
        <v>0</v>
      </c>
    </row>
    <row s="62286" customFormat="1" customHeight="1" ht="18.75" hidden="1">
      <c r="A89" s="2472"/>
      <c r="B89" s="2472"/>
      <c r="C89" s="1061" t="s">
        <v>1217</v>
      </c>
      <c r="D89" s="3154"/>
      <c r="E89" s="2896"/>
      <c r="F89" s="3075"/>
      <c r="G89" s="3119"/>
      <c r="H89" s="2192"/>
      <c r="I89" s="1343" t="s">
        <v>1218</v>
      </c>
      <c r="J89" s="1263"/>
      <c r="K89" s="2192"/>
      <c r="L89" s="906"/>
      <c r="M89" s="2862"/>
      <c r="N89" s="1026"/>
      <c r="O89" s="2316"/>
      <c r="P89" s="2316"/>
      <c r="AH89" s="2323">
        <v>0</v>
      </c>
    </row>
    <row s="62286" customFormat="1" customHeight="1" ht="0.75" hidden="1">
      <c r="A90" s="2472"/>
      <c r="B90" s="2472"/>
      <c r="C90" s="1061" t="s">
        <v>1224</v>
      </c>
      <c r="D90" s="3154"/>
      <c r="E90" s="2896"/>
      <c r="F90" s="3075"/>
      <c r="G90" s="1092"/>
      <c r="H90" s="2192"/>
      <c r="I90" s="1343"/>
      <c r="J90" s="1263"/>
      <c r="K90" s="2192"/>
      <c r="L90" s="906"/>
      <c r="M90" s="2862"/>
      <c r="N90" s="1026"/>
      <c r="O90" s="2316"/>
      <c r="P90" s="2316"/>
      <c r="AH90" s="2323">
        <v>0</v>
      </c>
    </row>
    <row s="62286" customFormat="1" customHeight="1" ht="18.75" hidden="1">
      <c r="A91" s="2472" t="s">
        <v>330</v>
      </c>
      <c r="B91" s="2472" t="s">
        <v>331</v>
      </c>
      <c r="C91" s="1061"/>
      <c r="D91" s="3154"/>
      <c r="E91" s="2896"/>
      <c r="F91" s="3075" t="str">
        <f>INDEX(PT_DIFFERENTIATION_VTAR,MATCH(A91,PT_DIFFERENTIATION_VTAR_ID,0))</f>
        <v>Тариф на транспортировку горячей воды</v>
      </c>
      <c r="G91" s="3119" t="str">
        <f>INDEX(PT_DIFFERENTIATION_NTAR,MATCH(B91,PT_DIFFERENTIATION_NTAR_ID,0))</f>
        <v/>
      </c>
      <c r="H91" s="2554"/>
      <c r="I91" s="2431"/>
      <c r="J91" s="2465"/>
      <c r="K91" s="2557"/>
      <c r="L91" s="2554" t="s">
        <v>381</v>
      </c>
      <c r="M91" s="2862"/>
      <c r="N91" s="1026"/>
      <c r="O91" s="2316"/>
      <c r="P91" s="2316"/>
      <c r="AH91" s="2323">
        <v>0</v>
      </c>
    </row>
    <row s="62286" customFormat="1" customHeight="1" ht="18.75" hidden="1">
      <c r="A92" s="2472"/>
      <c r="B92" s="2472"/>
      <c r="C92" s="1061" t="s">
        <v>1217</v>
      </c>
      <c r="D92" s="3154"/>
      <c r="E92" s="2896"/>
      <c r="F92" s="3075"/>
      <c r="G92" s="3119"/>
      <c r="H92" s="2192"/>
      <c r="I92" s="1343" t="s">
        <v>1218</v>
      </c>
      <c r="J92" s="1263"/>
      <c r="K92" s="2192"/>
      <c r="L92" s="906"/>
      <c r="M92" s="2862"/>
      <c r="N92" s="1026"/>
      <c r="O92" s="2316"/>
      <c r="P92" s="2316"/>
      <c r="AH92" s="2323">
        <v>0</v>
      </c>
    </row>
    <row s="62286" customFormat="1" customHeight="1" ht="0.75" hidden="1">
      <c r="A93" s="2472"/>
      <c r="B93" s="2472"/>
      <c r="C93" s="1061" t="s">
        <v>1224</v>
      </c>
      <c r="D93" s="3154"/>
      <c r="E93" s="2896"/>
      <c r="F93" s="3075"/>
      <c r="G93" s="1092"/>
      <c r="H93" s="2192"/>
      <c r="I93" s="1343"/>
      <c r="J93" s="1263"/>
      <c r="K93" s="2192"/>
      <c r="L93" s="906"/>
      <c r="M93" s="2862"/>
      <c r="N93" s="1026"/>
      <c r="O93" s="2316"/>
      <c r="P93" s="2316"/>
      <c r="AH93" s="2323">
        <v>0</v>
      </c>
    </row>
    <row s="62286" customFormat="1" customHeight="1" ht="18.75" hidden="1">
      <c r="A94" s="2472" t="s">
        <v>335</v>
      </c>
      <c r="B94" s="2472" t="s">
        <v>336</v>
      </c>
      <c r="C94" s="1061"/>
      <c r="D94" s="3154"/>
      <c r="E94" s="2896"/>
      <c r="F94" s="3075" t="str">
        <f>INDEX(PT_DIFFERENTIATION_VTAR,MATCH(A94,PT_DIFFERENTIATION_VTAR_ID,0))</f>
        <v>Тариф на подключение (технологическое присоединение) к централизованной системе горячего водоснабжения</v>
      </c>
      <c r="G94" s="3119" t="str">
        <f>INDEX(PT_DIFFERENTIATION_NTAR,MATCH(B94,PT_DIFFERENTIATION_NTAR_ID,0))</f>
        <v/>
      </c>
      <c r="H94" s="2554"/>
      <c r="I94" s="2431"/>
      <c r="J94" s="2465"/>
      <c r="K94" s="2557"/>
      <c r="L94" s="2554" t="s">
        <v>381</v>
      </c>
      <c r="M94" s="2862"/>
      <c r="N94" s="1026"/>
      <c r="O94" s="2316"/>
      <c r="P94" s="2316"/>
      <c r="AH94" s="2323">
        <v>0</v>
      </c>
    </row>
    <row s="62286" customFormat="1" customHeight="1" ht="18.75" hidden="1">
      <c r="A95" s="2472"/>
      <c r="B95" s="2472"/>
      <c r="C95" s="1061" t="s">
        <v>1217</v>
      </c>
      <c r="D95" s="3154"/>
      <c r="E95" s="2896"/>
      <c r="F95" s="3075"/>
      <c r="G95" s="3119"/>
      <c r="H95" s="2192"/>
      <c r="I95" s="1343" t="s">
        <v>1218</v>
      </c>
      <c r="J95" s="1263"/>
      <c r="K95" s="2192"/>
      <c r="L95" s="906"/>
      <c r="M95" s="2862"/>
      <c r="N95" s="1026"/>
      <c r="O95" s="2316"/>
      <c r="P95" s="2316"/>
      <c r="AH95" s="2323">
        <v>0</v>
      </c>
    </row>
    <row s="62286" customFormat="1" customHeight="1" ht="0.75" hidden="1">
      <c r="A96" s="2472"/>
      <c r="B96" s="2472"/>
      <c r="C96" s="1061" t="s">
        <v>1224</v>
      </c>
      <c r="D96" s="3154"/>
      <c r="E96" s="2896"/>
      <c r="F96" s="3075"/>
      <c r="G96" s="1092"/>
      <c r="H96" s="2192"/>
      <c r="I96" s="1343"/>
      <c r="J96" s="1263"/>
      <c r="K96" s="2192"/>
      <c r="L96" s="906"/>
      <c r="M96" s="2862"/>
      <c r="N96" s="1026"/>
      <c r="O96" s="2316"/>
      <c r="P96" s="2316"/>
      <c r="AH96" s="2323">
        <v>0</v>
      </c>
    </row>
    <row s="62286" customFormat="1" customHeight="1" ht="18.75" hidden="1">
      <c r="A97" s="2472" t="s">
        <v>340</v>
      </c>
      <c r="B97" s="2472" t="s">
        <v>341</v>
      </c>
      <c r="C97" s="1061"/>
      <c r="D97" s="3154"/>
      <c r="E97" s="2896"/>
      <c r="F97" s="3075" t="str">
        <f>INDEX(PT_DIFFERENTIATION_VTAR,MATCH(A97,PT_DIFFERENTIATION_VTAR_ID,0))</f>
        <v>Тариф на водоотведение</v>
      </c>
      <c r="G97" s="3119" t="str">
        <f>INDEX(PT_DIFFERENTIATION_NTAR,MATCH(B97,PT_DIFFERENTIATION_NTAR_ID,0))</f>
        <v/>
      </c>
      <c r="H97" s="2554"/>
      <c r="I97" s="2431"/>
      <c r="J97" s="2465"/>
      <c r="K97" s="2557"/>
      <c r="L97" s="2554" t="s">
        <v>381</v>
      </c>
      <c r="M97" s="2862"/>
      <c r="N97" s="1026"/>
      <c r="O97" s="2316"/>
      <c r="P97" s="2316"/>
      <c r="AH97" s="2323">
        <v>0</v>
      </c>
    </row>
    <row s="62286" customFormat="1" customHeight="1" ht="18.75" hidden="1">
      <c r="A98" s="2472"/>
      <c r="B98" s="2472"/>
      <c r="C98" s="1061" t="s">
        <v>1217</v>
      </c>
      <c r="D98" s="3154"/>
      <c r="E98" s="2896"/>
      <c r="F98" s="3075"/>
      <c r="G98" s="3119"/>
      <c r="H98" s="2192"/>
      <c r="I98" s="1343" t="s">
        <v>1218</v>
      </c>
      <c r="J98" s="1263"/>
      <c r="K98" s="2192"/>
      <c r="L98" s="906"/>
      <c r="M98" s="2862"/>
      <c r="N98" s="1026"/>
      <c r="O98" s="2316"/>
      <c r="P98" s="2316"/>
      <c r="AH98" s="2323">
        <v>0</v>
      </c>
    </row>
    <row s="62286" customFormat="1" customHeight="1" ht="0.75" hidden="1">
      <c r="A99" s="2472"/>
      <c r="B99" s="2472"/>
      <c r="C99" s="1061" t="s">
        <v>1224</v>
      </c>
      <c r="D99" s="3154"/>
      <c r="E99" s="2896"/>
      <c r="F99" s="3075"/>
      <c r="G99" s="1092"/>
      <c r="H99" s="2192"/>
      <c r="I99" s="1343"/>
      <c r="J99" s="1263"/>
      <c r="K99" s="2192"/>
      <c r="L99" s="906"/>
      <c r="M99" s="2862"/>
      <c r="N99" s="1026"/>
      <c r="O99" s="2316"/>
      <c r="P99" s="2316"/>
      <c r="AH99" s="2323">
        <v>0</v>
      </c>
    </row>
    <row s="62286" customFormat="1" customHeight="1" ht="18.75" hidden="1">
      <c r="A100" s="2472" t="s">
        <v>345</v>
      </c>
      <c r="B100" s="2472" t="s">
        <v>346</v>
      </c>
      <c r="C100" s="1061"/>
      <c r="D100" s="3154"/>
      <c r="E100" s="2896"/>
      <c r="F100" s="3075" t="str">
        <f>INDEX(PT_DIFFERENTIATION_VTAR,MATCH(A100,PT_DIFFERENTIATION_VTAR_ID,0))</f>
        <v>Тариф на транспортировку сточных вод</v>
      </c>
      <c r="G100" s="3119" t="str">
        <f>INDEX(PT_DIFFERENTIATION_NTAR,MATCH(B100,PT_DIFFERENTIATION_NTAR_ID,0))</f>
        <v/>
      </c>
      <c r="H100" s="2554"/>
      <c r="I100" s="2431"/>
      <c r="J100" s="2465"/>
      <c r="K100" s="2557"/>
      <c r="L100" s="2554" t="s">
        <v>381</v>
      </c>
      <c r="M100" s="2862"/>
      <c r="N100" s="1026"/>
      <c r="O100" s="2316"/>
      <c r="P100" s="2316"/>
      <c r="AH100" s="2323">
        <v>0</v>
      </c>
    </row>
    <row s="62286" customFormat="1" customHeight="1" ht="18.75" hidden="1">
      <c r="A101" s="2472"/>
      <c r="B101" s="2472"/>
      <c r="C101" s="1061" t="s">
        <v>1217</v>
      </c>
      <c r="D101" s="3154"/>
      <c r="E101" s="2896"/>
      <c r="F101" s="3075"/>
      <c r="G101" s="3119"/>
      <c r="H101" s="2192"/>
      <c r="I101" s="1343" t="s">
        <v>1218</v>
      </c>
      <c r="J101" s="1263"/>
      <c r="K101" s="2192"/>
      <c r="L101" s="906"/>
      <c r="M101" s="2862"/>
      <c r="N101" s="1026"/>
      <c r="O101" s="2316"/>
      <c r="P101" s="2316"/>
      <c r="AH101" s="2323">
        <v>0</v>
      </c>
    </row>
    <row s="62286" customFormat="1" customHeight="1" ht="0.75" hidden="1">
      <c r="A102" s="2472"/>
      <c r="B102" s="2472"/>
      <c r="C102" s="1061" t="s">
        <v>1224</v>
      </c>
      <c r="D102" s="3154"/>
      <c r="E102" s="2896"/>
      <c r="F102" s="3075"/>
      <c r="G102" s="1092"/>
      <c r="H102" s="2192"/>
      <c r="I102" s="1343"/>
      <c r="J102" s="1263"/>
      <c r="K102" s="2192"/>
      <c r="L102" s="906"/>
      <c r="M102" s="2862"/>
      <c r="N102" s="1026"/>
      <c r="O102" s="2316"/>
      <c r="P102" s="2316"/>
      <c r="AH102" s="2323">
        <v>0</v>
      </c>
    </row>
    <row s="62286" customFormat="1" customHeight="1" ht="18.75" hidden="1">
      <c r="A103" s="2472" t="s">
        <v>350</v>
      </c>
      <c r="B103" s="2472" t="s">
        <v>351</v>
      </c>
      <c r="C103" s="1061"/>
      <c r="D103" s="3154"/>
      <c r="E103" s="2896"/>
      <c r="F103" s="3075" t="str">
        <f>INDEX(PT_DIFFERENTIATION_VTAR,MATCH(A103,PT_DIFFERENTIATION_VTAR_ID,0))</f>
        <v>Тариф на подключение (технологическое присоединение) к централизованной системе водоотведения</v>
      </c>
      <c r="G103" s="3119" t="str">
        <f>INDEX(PT_DIFFERENTIATION_NTAR,MATCH(B103,PT_DIFFERENTIATION_NTAR_ID,0))</f>
        <v/>
      </c>
      <c r="H103" s="2554"/>
      <c r="I103" s="2431"/>
      <c r="J103" s="2465"/>
      <c r="K103" s="2557"/>
      <c r="L103" s="2554" t="s">
        <v>381</v>
      </c>
      <c r="M103" s="2862"/>
      <c r="N103" s="1026"/>
      <c r="O103" s="2316"/>
      <c r="P103" s="2316"/>
      <c r="AH103" s="2323">
        <v>0</v>
      </c>
    </row>
    <row s="62286" customFormat="1" customHeight="1" ht="18.75" hidden="1">
      <c r="A104" s="2472"/>
      <c r="B104" s="2472"/>
      <c r="C104" s="1061" t="s">
        <v>1217</v>
      </c>
      <c r="D104" s="3154"/>
      <c r="E104" s="2896"/>
      <c r="F104" s="3075"/>
      <c r="G104" s="3119"/>
      <c r="H104" s="2192"/>
      <c r="I104" s="1343" t="s">
        <v>1218</v>
      </c>
      <c r="J104" s="1263"/>
      <c r="K104" s="2192"/>
      <c r="L104" s="906"/>
      <c r="M104" s="2862"/>
      <c r="N104" s="1026"/>
      <c r="O104" s="2316"/>
      <c r="P104" s="2316"/>
      <c r="AH104" s="2323">
        <v>0</v>
      </c>
    </row>
    <row s="62286" customFormat="1" customHeight="1" ht="1.05">
      <c r="A105" s="2472"/>
      <c r="B105" s="2472"/>
      <c r="C105" s="1061" t="s">
        <v>1224</v>
      </c>
      <c r="D105" s="3154"/>
      <c r="E105" s="2896"/>
      <c r="F105" s="3075"/>
      <c r="G105" s="1092"/>
      <c r="H105" s="2192"/>
      <c r="I105" s="1343"/>
      <c r="J105" s="1263"/>
      <c r="K105" s="2192"/>
      <c r="L105" s="906"/>
      <c r="M105" s="2862"/>
      <c r="N105" s="1026"/>
      <c r="O105" s="2316"/>
      <c r="P105" s="2316"/>
      <c r="AH105" s="2323">
        <v>1</v>
      </c>
    </row>
    <row customHeight="1" ht="19.95">
      <c r="A106" s="2472"/>
      <c r="B106" s="2472"/>
      <c r="D106" s="1068"/>
      <c r="E106" s="839" t="s">
        <v>103</v>
      </c>
      <c r="F106" s="315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106" s="3152"/>
      <c r="H106" s="3152"/>
      <c r="I106" s="3152"/>
      <c r="J106" s="3152"/>
      <c r="K106" s="3152"/>
      <c r="L106" s="3152"/>
      <c r="M106" s="989"/>
      <c r="N106" s="1026"/>
      <c r="AH106" s="1066">
        <v>19</v>
      </c>
    </row>
    <row customHeight="1" ht="36">
      <c r="A107" s="2472"/>
      <c r="B107" s="2472"/>
      <c r="D107" s="1068"/>
      <c r="E107" s="1091"/>
      <c r="F107" s="890" t="s">
        <v>381</v>
      </c>
      <c r="G107" s="890" t="s">
        <v>381</v>
      </c>
      <c r="H107" s="2910" t="s">
        <v>381</v>
      </c>
      <c r="I107" s="2912"/>
      <c r="J107" s="890" t="s">
        <v>381</v>
      </c>
      <c r="K107" s="890" t="s">
        <v>381</v>
      </c>
      <c r="L107" s="9362" t="s">
        <v>1225</v>
      </c>
      <c r="M107" s="1037" t="s">
        <v>1226</v>
      </c>
      <c r="N107" s="1026"/>
      <c r="AH107" s="1066">
        <v>34</v>
      </c>
    </row>
    <row customHeight="1" ht="19.95">
      <c r="A108" s="2472"/>
      <c r="B108" s="2472"/>
      <c r="D108" s="1068"/>
      <c r="E108" s="839" t="s">
        <v>91</v>
      </c>
      <c r="F108" s="3152" t="s">
        <v>1227</v>
      </c>
      <c r="G108" s="3152"/>
      <c r="H108" s="3152"/>
      <c r="I108" s="3152"/>
      <c r="J108" s="3152"/>
      <c r="K108" s="3152"/>
      <c r="L108" s="3152"/>
      <c r="M108" s="989"/>
      <c r="N108" s="1026"/>
      <c r="AH108" s="1066">
        <v>19</v>
      </c>
    </row>
    <row s="62286" customFormat="1" customHeight="1" ht="60.75">
      <c r="A109" s="2472" t="s">
        <v>166</v>
      </c>
      <c r="B109" s="2472" t="s">
        <v>167</v>
      </c>
      <c r="C109" s="1061"/>
      <c r="D109" s="3154"/>
      <c r="E109" s="2896"/>
      <c r="F109" s="3075" t="str">
        <f>INDEX(PT_DIFFERENTIATION_VTAR,MATCH(A109,PT_DIFFERENTIATION_VTAR_ID,0))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09" s="3119" t="str">
        <f>INDEX(PT_DIFFERENTIATION_NTAR,MATCH(B109,PT_DIFFERENTIATION_NTAR_ID,0))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109" s="2554"/>
      <c r="I109" s="26819">
        <v>45292</v>
      </c>
      <c r="J109" s="2465">
        <v>45657</v>
      </c>
      <c r="K109" s="2470">
        <v>1122756.42</v>
      </c>
      <c r="L109" s="2554" t="s">
        <v>381</v>
      </c>
      <c r="M109" s="28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09" s="1026"/>
      <c r="O109" s="2316"/>
      <c r="P109" s="2316"/>
      <c r="AH109" s="2323">
        <v>0</v>
      </c>
    </row>
    <row s="62286" customFormat="1" customHeight="1" ht="56.25">
      <c r="A110" s="23333"/>
      <c r="B110" s="23333"/>
      <c r="C110" s="26822"/>
      <c r="D110" s="26823"/>
      <c r="E110" s="26824"/>
      <c r="F110" s="26824"/>
      <c r="G110" s="26824"/>
      <c r="H110" s="23204" t="s">
        <v>104</v>
      </c>
      <c r="I110" s="26819">
        <v>45658</v>
      </c>
      <c r="J110" s="26820">
        <v>46022</v>
      </c>
      <c r="K110" s="26910">
        <v>1138105.01</v>
      </c>
      <c r="L110" s="23206" t="s">
        <v>381</v>
      </c>
      <c r="M110" s="26827"/>
      <c r="N110" s="26828"/>
      <c r="O110" s="23339"/>
      <c r="P110" s="23339"/>
      <c r="Q110" s="22944"/>
      <c r="R110" s="22944"/>
      <c r="S110" s="22944"/>
      <c r="T110" s="22944"/>
      <c r="U110" s="22944"/>
      <c r="V110" s="22944"/>
      <c r="W110" s="22944"/>
      <c r="X110" s="22944"/>
      <c r="Y110" s="22944"/>
      <c r="Z110" s="22944"/>
      <c r="AA110" s="22944"/>
      <c r="AB110" s="22944"/>
      <c r="AC110" s="22944"/>
      <c r="AD110" s="22944"/>
      <c r="AE110" s="22944"/>
      <c r="AF110" s="22944"/>
      <c r="AG110" s="22944"/>
      <c r="AH110" s="22944">
        <v>0</v>
      </c>
    </row>
    <row s="62286" customFormat="1" customHeight="1" ht="56.25">
      <c r="A111" s="23333"/>
      <c r="B111" s="23333"/>
      <c r="C111" s="26822"/>
      <c r="D111" s="26823"/>
      <c r="E111" s="26824"/>
      <c r="F111" s="26824"/>
      <c r="G111" s="26824"/>
      <c r="H111" s="23204" t="s">
        <v>104</v>
      </c>
      <c r="I111" s="26819">
        <v>46023</v>
      </c>
      <c r="J111" s="26820">
        <v>46387</v>
      </c>
      <c r="K111" s="26910">
        <v>1336540.21</v>
      </c>
      <c r="L111" s="23206" t="s">
        <v>381</v>
      </c>
      <c r="M111" s="26827"/>
      <c r="N111" s="26828"/>
      <c r="O111" s="23339"/>
      <c r="P111" s="23339"/>
      <c r="Q111" s="22944"/>
      <c r="R111" s="22944"/>
      <c r="S111" s="22944"/>
      <c r="T111" s="22944"/>
      <c r="U111" s="22944"/>
      <c r="V111" s="22944"/>
      <c r="W111" s="22944"/>
      <c r="X111" s="22944"/>
      <c r="Y111" s="22944"/>
      <c r="Z111" s="22944"/>
      <c r="AA111" s="22944"/>
      <c r="AB111" s="22944"/>
      <c r="AC111" s="22944"/>
      <c r="AD111" s="22944"/>
      <c r="AE111" s="22944"/>
      <c r="AF111" s="22944"/>
      <c r="AG111" s="22944"/>
      <c r="AH111" s="22944">
        <v>0</v>
      </c>
    </row>
    <row s="62286" customFormat="1" customHeight="1" ht="56.25">
      <c r="A112" s="23333"/>
      <c r="B112" s="23333"/>
      <c r="C112" s="26822"/>
      <c r="D112" s="26823"/>
      <c r="E112" s="26824"/>
      <c r="F112" s="26824"/>
      <c r="G112" s="26824"/>
      <c r="H112" s="23204" t="s">
        <v>104</v>
      </c>
      <c r="I112" s="26819">
        <v>46388</v>
      </c>
      <c r="J112" s="26820">
        <v>46752</v>
      </c>
      <c r="K112" s="26910">
        <v>1243318.47</v>
      </c>
      <c r="L112" s="23206" t="s">
        <v>381</v>
      </c>
      <c r="M112" s="26827"/>
      <c r="N112" s="26828"/>
      <c r="O112" s="23339"/>
      <c r="P112" s="23339"/>
      <c r="Q112" s="22944"/>
      <c r="R112" s="22944"/>
      <c r="S112" s="22944"/>
      <c r="T112" s="22944"/>
      <c r="U112" s="22944"/>
      <c r="V112" s="22944"/>
      <c r="W112" s="22944"/>
      <c r="X112" s="22944"/>
      <c r="Y112" s="22944"/>
      <c r="Z112" s="22944"/>
      <c r="AA112" s="22944"/>
      <c r="AB112" s="22944"/>
      <c r="AC112" s="22944"/>
      <c r="AD112" s="22944"/>
      <c r="AE112" s="22944"/>
      <c r="AF112" s="22944"/>
      <c r="AG112" s="22944"/>
      <c r="AH112" s="22944">
        <v>0</v>
      </c>
    </row>
    <row s="62286" customFormat="1" customHeight="1" ht="56.25">
      <c r="A113" s="23333"/>
      <c r="B113" s="23333"/>
      <c r="C113" s="26822"/>
      <c r="D113" s="26823"/>
      <c r="E113" s="26824"/>
      <c r="F113" s="26824"/>
      <c r="G113" s="26824"/>
      <c r="H113" s="23204" t="s">
        <v>104</v>
      </c>
      <c r="I113" s="26819">
        <v>46753</v>
      </c>
      <c r="J113" s="26820">
        <v>47118</v>
      </c>
      <c r="K113" s="26910">
        <v>1275820.81</v>
      </c>
      <c r="L113" s="23206" t="s">
        <v>381</v>
      </c>
      <c r="M113" s="26827"/>
      <c r="N113" s="26828"/>
      <c r="O113" s="23339"/>
      <c r="P113" s="23339"/>
      <c r="Q113" s="22944"/>
      <c r="R113" s="22944"/>
      <c r="S113" s="22944"/>
      <c r="T113" s="22944"/>
      <c r="U113" s="22944"/>
      <c r="V113" s="22944"/>
      <c r="W113" s="22944"/>
      <c r="X113" s="22944"/>
      <c r="Y113" s="22944"/>
      <c r="Z113" s="22944"/>
      <c r="AA113" s="22944"/>
      <c r="AB113" s="22944"/>
      <c r="AC113" s="22944"/>
      <c r="AD113" s="22944"/>
      <c r="AE113" s="22944"/>
      <c r="AF113" s="22944"/>
      <c r="AG113" s="22944"/>
      <c r="AH113" s="22944">
        <v>0</v>
      </c>
    </row>
    <row s="62286" customFormat="1" customHeight="1" ht="18.75">
      <c r="A114" s="2472"/>
      <c r="B114" s="2472"/>
      <c r="C114" s="1061" t="s">
        <v>1219</v>
      </c>
      <c r="D114" s="3154"/>
      <c r="E114" s="2896"/>
      <c r="F114" s="3075"/>
      <c r="G114" s="3119"/>
      <c r="H114" s="2192"/>
      <c r="I114" s="1343" t="s">
        <v>1218</v>
      </c>
      <c r="J114" s="1263"/>
      <c r="K114" s="2192"/>
      <c r="L114" s="906"/>
      <c r="M114" s="2862"/>
      <c r="N114" s="1026"/>
      <c r="O114" s="2316"/>
      <c r="P114" s="2316"/>
      <c r="AH114" s="2323">
        <v>0</v>
      </c>
    </row>
    <row s="62286" customFormat="1" customHeight="1" ht="18.75">
      <c r="A115" s="23333" t="s">
        <v>166</v>
      </c>
      <c r="B115" s="23333" t="s">
        <v>176</v>
      </c>
      <c r="C115" s="26822"/>
      <c r="D115" s="26823"/>
      <c r="E115" s="26824"/>
      <c r="F115" s="26824"/>
      <c r="G115" s="26825" t="str">
        <f>INDEX(PT_DIFFERENTIATION_NTAR,MATCH(B115,PT_DIFFERENTIATION_NTAR_ID,0))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115" s="23206"/>
      <c r="I115" s="26819">
        <v>45292</v>
      </c>
      <c r="J115" s="26820">
        <v>45657</v>
      </c>
      <c r="K115" s="26910">
        <v>1280335.56</v>
      </c>
      <c r="L115" s="23206" t="s">
        <v>381</v>
      </c>
      <c r="M115" s="26827"/>
      <c r="N115" s="26828"/>
      <c r="O115" s="23339"/>
      <c r="P115" s="23339"/>
      <c r="Q115" s="22944"/>
      <c r="R115" s="22944"/>
      <c r="S115" s="22944"/>
      <c r="T115" s="22944"/>
      <c r="U115" s="22944"/>
      <c r="V115" s="22944"/>
      <c r="W115" s="22944"/>
      <c r="X115" s="22944"/>
      <c r="Y115" s="22944"/>
      <c r="Z115" s="22944"/>
      <c r="AA115" s="22944"/>
      <c r="AB115" s="22944"/>
      <c r="AC115" s="22944"/>
      <c r="AD115" s="22944"/>
      <c r="AE115" s="22944"/>
      <c r="AF115" s="22944"/>
      <c r="AG115" s="22944"/>
      <c r="AH115" s="22944">
        <v>0</v>
      </c>
    </row>
    <row s="62286" customFormat="1" customHeight="1" ht="56.25">
      <c r="A116" s="23333"/>
      <c r="B116" s="23333"/>
      <c r="C116" s="26822"/>
      <c r="D116" s="26823"/>
      <c r="E116" s="26824"/>
      <c r="F116" s="26824"/>
      <c r="G116" s="26824"/>
      <c r="H116" s="23204" t="s">
        <v>104</v>
      </c>
      <c r="I116" s="26819">
        <v>45658</v>
      </c>
      <c r="J116" s="26820">
        <v>46022</v>
      </c>
      <c r="K116" s="26910">
        <v>1181063.87</v>
      </c>
      <c r="L116" s="23206" t="s">
        <v>381</v>
      </c>
      <c r="M116" s="26827"/>
      <c r="N116" s="26828"/>
      <c r="O116" s="23339"/>
      <c r="P116" s="23339"/>
      <c r="Q116" s="22944"/>
      <c r="R116" s="22944"/>
      <c r="S116" s="22944"/>
      <c r="T116" s="22944"/>
      <c r="U116" s="22944"/>
      <c r="V116" s="22944"/>
      <c r="W116" s="22944"/>
      <c r="X116" s="22944"/>
      <c r="Y116" s="22944"/>
      <c r="Z116" s="22944"/>
      <c r="AA116" s="22944"/>
      <c r="AB116" s="22944"/>
      <c r="AC116" s="22944"/>
      <c r="AD116" s="22944"/>
      <c r="AE116" s="22944"/>
      <c r="AF116" s="22944"/>
      <c r="AG116" s="22944"/>
      <c r="AH116" s="22944">
        <v>0</v>
      </c>
    </row>
    <row s="62286" customFormat="1" customHeight="1" ht="56.25">
      <c r="A117" s="23333"/>
      <c r="B117" s="23333"/>
      <c r="C117" s="26822"/>
      <c r="D117" s="26823"/>
      <c r="E117" s="26824"/>
      <c r="F117" s="26824"/>
      <c r="G117" s="26824"/>
      <c r="H117" s="23204" t="s">
        <v>104</v>
      </c>
      <c r="I117" s="26819">
        <v>46023</v>
      </c>
      <c r="J117" s="26820">
        <v>46387</v>
      </c>
      <c r="K117" s="26910">
        <v>2618443.37</v>
      </c>
      <c r="L117" s="23206" t="s">
        <v>381</v>
      </c>
      <c r="M117" s="26827"/>
      <c r="N117" s="26828"/>
      <c r="O117" s="23339"/>
      <c r="P117" s="23339"/>
      <c r="Q117" s="22944"/>
      <c r="R117" s="22944"/>
      <c r="S117" s="22944"/>
      <c r="T117" s="22944"/>
      <c r="U117" s="22944"/>
      <c r="V117" s="22944"/>
      <c r="W117" s="22944"/>
      <c r="X117" s="22944"/>
      <c r="Y117" s="22944"/>
      <c r="Z117" s="22944"/>
      <c r="AA117" s="22944"/>
      <c r="AB117" s="22944"/>
      <c r="AC117" s="22944"/>
      <c r="AD117" s="22944"/>
      <c r="AE117" s="22944"/>
      <c r="AF117" s="22944"/>
      <c r="AG117" s="22944"/>
      <c r="AH117" s="22944">
        <v>0</v>
      </c>
    </row>
    <row s="62286" customFormat="1" customHeight="1" ht="56.25">
      <c r="A118" s="23333"/>
      <c r="B118" s="23333"/>
      <c r="C118" s="26822"/>
      <c r="D118" s="26823"/>
      <c r="E118" s="26824"/>
      <c r="F118" s="26824"/>
      <c r="G118" s="26824"/>
      <c r="H118" s="23204" t="s">
        <v>104</v>
      </c>
      <c r="I118" s="26819">
        <v>46388</v>
      </c>
      <c r="J118" s="26820">
        <v>46752</v>
      </c>
      <c r="K118" s="26910">
        <v>1455810.25</v>
      </c>
      <c r="L118" s="23206" t="s">
        <v>381</v>
      </c>
      <c r="M118" s="26827"/>
      <c r="N118" s="26828"/>
      <c r="O118" s="23339"/>
      <c r="P118" s="23339"/>
      <c r="Q118" s="22944"/>
      <c r="R118" s="22944"/>
      <c r="S118" s="22944"/>
      <c r="T118" s="22944"/>
      <c r="U118" s="22944"/>
      <c r="V118" s="22944"/>
      <c r="W118" s="22944"/>
      <c r="X118" s="22944"/>
      <c r="Y118" s="22944"/>
      <c r="Z118" s="22944"/>
      <c r="AA118" s="22944"/>
      <c r="AB118" s="22944"/>
      <c r="AC118" s="22944"/>
      <c r="AD118" s="22944"/>
      <c r="AE118" s="22944"/>
      <c r="AF118" s="22944"/>
      <c r="AG118" s="22944"/>
      <c r="AH118" s="22944">
        <v>0</v>
      </c>
    </row>
    <row s="62286" customFormat="1" customHeight="1" ht="56.25">
      <c r="A119" s="23333"/>
      <c r="B119" s="23333"/>
      <c r="C119" s="26822"/>
      <c r="D119" s="26823"/>
      <c r="E119" s="26824"/>
      <c r="F119" s="26824"/>
      <c r="G119" s="26824"/>
      <c r="H119" s="23204" t="s">
        <v>104</v>
      </c>
      <c r="I119" s="26819">
        <v>46753</v>
      </c>
      <c r="J119" s="26820">
        <v>47118</v>
      </c>
      <c r="K119" s="26910">
        <v>1523496.9</v>
      </c>
      <c r="L119" s="23206" t="s">
        <v>381</v>
      </c>
      <c r="M119" s="26827"/>
      <c r="N119" s="26828"/>
      <c r="O119" s="23339"/>
      <c r="P119" s="23339"/>
      <c r="Q119" s="22944"/>
      <c r="R119" s="22944"/>
      <c r="S119" s="22944"/>
      <c r="T119" s="22944"/>
      <c r="U119" s="22944"/>
      <c r="V119" s="22944"/>
      <c r="W119" s="22944"/>
      <c r="X119" s="22944"/>
      <c r="Y119" s="22944"/>
      <c r="Z119" s="22944"/>
      <c r="AA119" s="22944"/>
      <c r="AB119" s="22944"/>
      <c r="AC119" s="22944"/>
      <c r="AD119" s="22944"/>
      <c r="AE119" s="22944"/>
      <c r="AF119" s="22944"/>
      <c r="AG119" s="22944"/>
      <c r="AH119" s="22944">
        <v>0</v>
      </c>
    </row>
    <row s="62286" customFormat="1" customHeight="1" ht="18.75">
      <c r="A120" s="23333"/>
      <c r="B120" s="23333"/>
      <c r="C120" s="26822" t="s">
        <v>1219</v>
      </c>
      <c r="D120" s="26823"/>
      <c r="E120" s="26824"/>
      <c r="F120" s="26824"/>
      <c r="G120" s="26825"/>
      <c r="H120" s="26911"/>
      <c r="I120" s="26912" t="s">
        <v>1218</v>
      </c>
      <c r="J120" s="26913"/>
      <c r="K120" s="26914"/>
      <c r="L120" s="26915"/>
      <c r="M120" s="26827"/>
      <c r="N120" s="26828"/>
      <c r="O120" s="23339"/>
      <c r="P120" s="23339"/>
      <c r="Q120" s="22944"/>
      <c r="R120" s="22944"/>
      <c r="S120" s="22944"/>
      <c r="T120" s="22944"/>
      <c r="U120" s="22944"/>
      <c r="V120" s="22944"/>
      <c r="W120" s="22944"/>
      <c r="X120" s="22944"/>
      <c r="Y120" s="22944"/>
      <c r="Z120" s="22944"/>
      <c r="AA120" s="22944"/>
      <c r="AB120" s="22944"/>
      <c r="AC120" s="22944"/>
      <c r="AD120" s="22944"/>
      <c r="AE120" s="22944"/>
      <c r="AF120" s="22944"/>
      <c r="AG120" s="22944"/>
      <c r="AH120" s="22944">
        <v>0</v>
      </c>
    </row>
    <row s="62286" customFormat="1" customHeight="1" ht="18.75">
      <c r="A121" s="23333" t="s">
        <v>166</v>
      </c>
      <c r="B121" s="23333" t="s">
        <v>182</v>
      </c>
      <c r="C121" s="26822"/>
      <c r="D121" s="26823"/>
      <c r="E121" s="26824"/>
      <c r="F121" s="26824"/>
      <c r="G121" s="26825" t="str">
        <f>INDEX(PT_DIFFERENTIATION_NTAR,MATCH(B121,PT_DIFFERENTIATION_NTAR_ID,0))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121" s="23206"/>
      <c r="I121" s="26819">
        <v>45292</v>
      </c>
      <c r="J121" s="26820">
        <v>45657</v>
      </c>
      <c r="K121" s="26910">
        <v>499654.76</v>
      </c>
      <c r="L121" s="23206" t="s">
        <v>381</v>
      </c>
      <c r="M121" s="26827"/>
      <c r="N121" s="26828"/>
      <c r="O121" s="23339"/>
      <c r="P121" s="23339"/>
      <c r="Q121" s="22944"/>
      <c r="R121" s="22944"/>
      <c r="S121" s="22944"/>
      <c r="T121" s="22944"/>
      <c r="U121" s="22944"/>
      <c r="V121" s="22944"/>
      <c r="W121" s="22944"/>
      <c r="X121" s="22944"/>
      <c r="Y121" s="22944"/>
      <c r="Z121" s="22944"/>
      <c r="AA121" s="22944"/>
      <c r="AB121" s="22944"/>
      <c r="AC121" s="22944"/>
      <c r="AD121" s="22944"/>
      <c r="AE121" s="22944"/>
      <c r="AF121" s="22944"/>
      <c r="AG121" s="22944"/>
      <c r="AH121" s="22944">
        <v>0</v>
      </c>
    </row>
    <row s="62286" customFormat="1" customHeight="1" ht="56.25">
      <c r="A122" s="23333"/>
      <c r="B122" s="23333"/>
      <c r="C122" s="26822"/>
      <c r="D122" s="26823"/>
      <c r="E122" s="26824"/>
      <c r="F122" s="26824"/>
      <c r="G122" s="26824"/>
      <c r="H122" s="23204" t="s">
        <v>104</v>
      </c>
      <c r="I122" s="26819">
        <v>45658</v>
      </c>
      <c r="J122" s="26820">
        <v>46022</v>
      </c>
      <c r="K122" s="26910">
        <v>495948.54</v>
      </c>
      <c r="L122" s="23206" t="s">
        <v>381</v>
      </c>
      <c r="M122" s="26827"/>
      <c r="N122" s="26828"/>
      <c r="O122" s="23339"/>
      <c r="P122" s="23339"/>
      <c r="Q122" s="22944"/>
      <c r="R122" s="22944"/>
      <c r="S122" s="22944"/>
      <c r="T122" s="22944"/>
      <c r="U122" s="22944"/>
      <c r="V122" s="22944"/>
      <c r="W122" s="22944"/>
      <c r="X122" s="22944"/>
      <c r="Y122" s="22944"/>
      <c r="Z122" s="22944"/>
      <c r="AA122" s="22944"/>
      <c r="AB122" s="22944"/>
      <c r="AC122" s="22944"/>
      <c r="AD122" s="22944"/>
      <c r="AE122" s="22944"/>
      <c r="AF122" s="22944"/>
      <c r="AG122" s="22944"/>
      <c r="AH122" s="22944">
        <v>0</v>
      </c>
    </row>
    <row s="62286" customFormat="1" customHeight="1" ht="56.25">
      <c r="A123" s="23333"/>
      <c r="B123" s="23333"/>
      <c r="C123" s="26822"/>
      <c r="D123" s="26823"/>
      <c r="E123" s="26824"/>
      <c r="F123" s="26824"/>
      <c r="G123" s="26824"/>
      <c r="H123" s="23204" t="s">
        <v>104</v>
      </c>
      <c r="I123" s="26819">
        <v>46023</v>
      </c>
      <c r="J123" s="26820">
        <v>46387</v>
      </c>
      <c r="K123" s="26910">
        <v>558236.18</v>
      </c>
      <c r="L123" s="23206" t="s">
        <v>381</v>
      </c>
      <c r="M123" s="26827"/>
      <c r="N123" s="26828"/>
      <c r="O123" s="23339"/>
      <c r="P123" s="23339"/>
      <c r="Q123" s="22944"/>
      <c r="R123" s="22944"/>
      <c r="S123" s="22944"/>
      <c r="T123" s="22944"/>
      <c r="U123" s="22944"/>
      <c r="V123" s="22944"/>
      <c r="W123" s="22944"/>
      <c r="X123" s="22944"/>
      <c r="Y123" s="22944"/>
      <c r="Z123" s="22944"/>
      <c r="AA123" s="22944"/>
      <c r="AB123" s="22944"/>
      <c r="AC123" s="22944"/>
      <c r="AD123" s="22944"/>
      <c r="AE123" s="22944"/>
      <c r="AF123" s="22944"/>
      <c r="AG123" s="22944"/>
      <c r="AH123" s="22944">
        <v>0</v>
      </c>
    </row>
    <row s="62286" customFormat="1" customHeight="1" ht="56.25">
      <c r="A124" s="23333"/>
      <c r="B124" s="23333"/>
      <c r="C124" s="26822"/>
      <c r="D124" s="26823"/>
      <c r="E124" s="26824"/>
      <c r="F124" s="26824"/>
      <c r="G124" s="26824"/>
      <c r="H124" s="23204" t="s">
        <v>104</v>
      </c>
      <c r="I124" s="26819">
        <v>46388</v>
      </c>
      <c r="J124" s="26820">
        <v>46752</v>
      </c>
      <c r="K124" s="26910">
        <v>548966.38</v>
      </c>
      <c r="L124" s="23206" t="s">
        <v>381</v>
      </c>
      <c r="M124" s="26827"/>
      <c r="N124" s="26828"/>
      <c r="O124" s="23339"/>
      <c r="P124" s="23339"/>
      <c r="Q124" s="22944"/>
      <c r="R124" s="22944"/>
      <c r="S124" s="22944"/>
      <c r="T124" s="22944"/>
      <c r="U124" s="22944"/>
      <c r="V124" s="22944"/>
      <c r="W124" s="22944"/>
      <c r="X124" s="22944"/>
      <c r="Y124" s="22944"/>
      <c r="Z124" s="22944"/>
      <c r="AA124" s="22944"/>
      <c r="AB124" s="22944"/>
      <c r="AC124" s="22944"/>
      <c r="AD124" s="22944"/>
      <c r="AE124" s="22944"/>
      <c r="AF124" s="22944"/>
      <c r="AG124" s="22944"/>
      <c r="AH124" s="22944">
        <v>0</v>
      </c>
    </row>
    <row s="62286" customFormat="1" customHeight="1" ht="56.25">
      <c r="A125" s="23333"/>
      <c r="B125" s="23333"/>
      <c r="C125" s="26822"/>
      <c r="D125" s="26823"/>
      <c r="E125" s="26824"/>
      <c r="F125" s="26824"/>
      <c r="G125" s="26824"/>
      <c r="H125" s="23204" t="s">
        <v>104</v>
      </c>
      <c r="I125" s="26819">
        <v>46753</v>
      </c>
      <c r="J125" s="26820">
        <v>47118</v>
      </c>
      <c r="K125" s="26910">
        <v>567321.16</v>
      </c>
      <c r="L125" s="23206" t="s">
        <v>381</v>
      </c>
      <c r="M125" s="26827"/>
      <c r="N125" s="26828"/>
      <c r="O125" s="23339"/>
      <c r="P125" s="23339"/>
      <c r="Q125" s="22944"/>
      <c r="R125" s="22944"/>
      <c r="S125" s="22944"/>
      <c r="T125" s="22944"/>
      <c r="U125" s="22944"/>
      <c r="V125" s="22944"/>
      <c r="W125" s="22944"/>
      <c r="X125" s="22944"/>
      <c r="Y125" s="22944"/>
      <c r="Z125" s="22944"/>
      <c r="AA125" s="22944"/>
      <c r="AB125" s="22944"/>
      <c r="AC125" s="22944"/>
      <c r="AD125" s="22944"/>
      <c r="AE125" s="22944"/>
      <c r="AF125" s="22944"/>
      <c r="AG125" s="22944"/>
      <c r="AH125" s="22944">
        <v>0</v>
      </c>
    </row>
    <row s="62286" customFormat="1" customHeight="1" ht="18.75">
      <c r="A126" s="23333"/>
      <c r="B126" s="23333"/>
      <c r="C126" s="26822" t="s">
        <v>1219</v>
      </c>
      <c r="D126" s="26823"/>
      <c r="E126" s="26824"/>
      <c r="F126" s="26824"/>
      <c r="G126" s="26825"/>
      <c r="H126" s="26916"/>
      <c r="I126" s="26917" t="s">
        <v>1218</v>
      </c>
      <c r="J126" s="26918"/>
      <c r="K126" s="26919"/>
      <c r="L126" s="26920"/>
      <c r="M126" s="26827"/>
      <c r="N126" s="26828"/>
      <c r="O126" s="23339"/>
      <c r="P126" s="23339"/>
      <c r="Q126" s="22944"/>
      <c r="R126" s="22944"/>
      <c r="S126" s="22944"/>
      <c r="T126" s="22944"/>
      <c r="U126" s="22944"/>
      <c r="V126" s="22944"/>
      <c r="W126" s="22944"/>
      <c r="X126" s="22944"/>
      <c r="Y126" s="22944"/>
      <c r="Z126" s="22944"/>
      <c r="AA126" s="22944"/>
      <c r="AB126" s="22944"/>
      <c r="AC126" s="22944"/>
      <c r="AD126" s="22944"/>
      <c r="AE126" s="22944"/>
      <c r="AF126" s="22944"/>
      <c r="AG126" s="22944"/>
      <c r="AH126" s="22944">
        <v>0</v>
      </c>
    </row>
    <row s="62286" customFormat="1" customHeight="1" ht="0.75">
      <c r="A127" s="2472"/>
      <c r="B127" s="2472"/>
      <c r="C127" s="1061" t="s">
        <v>1228</v>
      </c>
      <c r="D127" s="3154"/>
      <c r="E127" s="2896"/>
      <c r="F127" s="3075"/>
      <c r="G127" s="1092"/>
      <c r="H127" s="2192"/>
      <c r="I127" s="1343"/>
      <c r="J127" s="1263"/>
      <c r="K127" s="2192"/>
      <c r="L127" s="906"/>
      <c r="M127" s="2862"/>
      <c r="N127" s="1026"/>
      <c r="O127" s="2316"/>
      <c r="P127" s="2316"/>
      <c r="AH127" s="2323">
        <v>0</v>
      </c>
    </row>
    <row s="62286" customFormat="1" customHeight="1" ht="45">
      <c r="A128" s="2472" t="s">
        <v>190</v>
      </c>
      <c r="B128" s="2472" t="s">
        <v>191</v>
      </c>
      <c r="C128" s="1061"/>
      <c r="D128" s="3154"/>
      <c r="E128" s="2896"/>
      <c r="F128" s="3075" t="str">
        <f>INDEX(PT_DIFFERENTIATION_VTAR,MATCH(A128,PT_DIFFERENTIATION_VTAR_ID,0))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28" s="3119" t="str">
        <f>INDEX(PT_DIFFERENTIATION_NTAR,MATCH(B128,PT_DIFFERENTIATION_NTAR_ID,0))</f>
        <v>Тариф на тепловую энергию, поставляемую потребителям АО "ДГК" на территории Артемовского городского округа Приморского края</v>
      </c>
      <c r="H128" s="2554"/>
      <c r="I128" s="26819">
        <v>45292</v>
      </c>
      <c r="J128" s="2465">
        <v>45657</v>
      </c>
      <c r="K128" s="2470">
        <v>2287920.24</v>
      </c>
      <c r="L128" s="2554" t="s">
        <v>381</v>
      </c>
      <c r="M128" s="2863"/>
      <c r="N128" s="1026"/>
      <c r="O128" s="2316"/>
      <c r="P128" s="2316"/>
      <c r="AH128" s="2323">
        <v>0</v>
      </c>
    </row>
    <row s="62286" customFormat="1" customHeight="1" ht="56.25">
      <c r="A129" s="23333"/>
      <c r="B129" s="23333"/>
      <c r="C129" s="26822"/>
      <c r="D129" s="26823"/>
      <c r="E129" s="26824"/>
      <c r="F129" s="26824"/>
      <c r="G129" s="26824"/>
      <c r="H129" s="23204" t="s">
        <v>104</v>
      </c>
      <c r="I129" s="26819">
        <v>45658</v>
      </c>
      <c r="J129" s="26820">
        <v>46022</v>
      </c>
      <c r="K129" s="26910">
        <v>2615213.4</v>
      </c>
      <c r="L129" s="23206" t="s">
        <v>381</v>
      </c>
      <c r="M129" s="26827"/>
      <c r="N129" s="26828"/>
      <c r="O129" s="23339"/>
      <c r="P129" s="23339"/>
      <c r="Q129" s="22944"/>
      <c r="R129" s="22944"/>
      <c r="S129" s="22944"/>
      <c r="T129" s="22944"/>
      <c r="U129" s="22944"/>
      <c r="V129" s="22944"/>
      <c r="W129" s="22944"/>
      <c r="X129" s="22944"/>
      <c r="Y129" s="22944"/>
      <c r="Z129" s="22944"/>
      <c r="AA129" s="22944"/>
      <c r="AB129" s="22944"/>
      <c r="AC129" s="22944"/>
      <c r="AD129" s="22944"/>
      <c r="AE129" s="22944"/>
      <c r="AF129" s="22944"/>
      <c r="AG129" s="22944"/>
      <c r="AH129" s="22944">
        <v>0</v>
      </c>
    </row>
    <row s="62286" customFormat="1" customHeight="1" ht="56.25">
      <c r="A130" s="23333"/>
      <c r="B130" s="23333"/>
      <c r="C130" s="26822"/>
      <c r="D130" s="26823"/>
      <c r="E130" s="26824"/>
      <c r="F130" s="26824"/>
      <c r="G130" s="26824"/>
      <c r="H130" s="23204" t="s">
        <v>104</v>
      </c>
      <c r="I130" s="26819">
        <v>46023</v>
      </c>
      <c r="J130" s="26820">
        <v>46387</v>
      </c>
      <c r="K130" s="26910">
        <v>2646593.89</v>
      </c>
      <c r="L130" s="23206" t="s">
        <v>381</v>
      </c>
      <c r="M130" s="26827"/>
      <c r="N130" s="26828"/>
      <c r="O130" s="23339"/>
      <c r="P130" s="23339"/>
      <c r="Q130" s="22944"/>
      <c r="R130" s="22944"/>
      <c r="S130" s="22944"/>
      <c r="T130" s="22944"/>
      <c r="U130" s="22944"/>
      <c r="V130" s="22944"/>
      <c r="W130" s="22944"/>
      <c r="X130" s="22944"/>
      <c r="Y130" s="22944"/>
      <c r="Z130" s="22944"/>
      <c r="AA130" s="22944"/>
      <c r="AB130" s="22944"/>
      <c r="AC130" s="22944"/>
      <c r="AD130" s="22944"/>
      <c r="AE130" s="22944"/>
      <c r="AF130" s="22944"/>
      <c r="AG130" s="22944"/>
      <c r="AH130" s="22944">
        <v>0</v>
      </c>
    </row>
    <row s="62286" customFormat="1" customHeight="1" ht="56.25">
      <c r="A131" s="23333"/>
      <c r="B131" s="23333"/>
      <c r="C131" s="26822"/>
      <c r="D131" s="26823"/>
      <c r="E131" s="26824"/>
      <c r="F131" s="26824"/>
      <c r="G131" s="26824"/>
      <c r="H131" s="23204" t="s">
        <v>104</v>
      </c>
      <c r="I131" s="26819">
        <v>46388</v>
      </c>
      <c r="J131" s="26820">
        <v>46752</v>
      </c>
      <c r="K131" s="26910">
        <v>2181684.21</v>
      </c>
      <c r="L131" s="23206" t="s">
        <v>381</v>
      </c>
      <c r="M131" s="26827"/>
      <c r="N131" s="26828"/>
      <c r="O131" s="23339"/>
      <c r="P131" s="23339"/>
      <c r="Q131" s="22944"/>
      <c r="R131" s="22944"/>
      <c r="S131" s="22944"/>
      <c r="T131" s="22944"/>
      <c r="U131" s="22944"/>
      <c r="V131" s="22944"/>
      <c r="W131" s="22944"/>
      <c r="X131" s="22944"/>
      <c r="Y131" s="22944"/>
      <c r="Z131" s="22944"/>
      <c r="AA131" s="22944"/>
      <c r="AB131" s="22944"/>
      <c r="AC131" s="22944"/>
      <c r="AD131" s="22944"/>
      <c r="AE131" s="22944"/>
      <c r="AF131" s="22944"/>
      <c r="AG131" s="22944"/>
      <c r="AH131" s="22944">
        <v>0</v>
      </c>
    </row>
    <row s="62286" customFormat="1" customHeight="1" ht="56.25">
      <c r="A132" s="23333"/>
      <c r="B132" s="23333"/>
      <c r="C132" s="26822"/>
      <c r="D132" s="26823"/>
      <c r="E132" s="26824"/>
      <c r="F132" s="26824"/>
      <c r="G132" s="26824"/>
      <c r="H132" s="23204" t="s">
        <v>104</v>
      </c>
      <c r="I132" s="26819">
        <v>46753</v>
      </c>
      <c r="J132" s="26820">
        <v>47118</v>
      </c>
      <c r="K132" s="26910">
        <v>2234486.61</v>
      </c>
      <c r="L132" s="23206" t="s">
        <v>381</v>
      </c>
      <c r="M132" s="26827"/>
      <c r="N132" s="26828"/>
      <c r="O132" s="23339"/>
      <c r="P132" s="23339"/>
      <c r="Q132" s="22944"/>
      <c r="R132" s="22944"/>
      <c r="S132" s="22944"/>
      <c r="T132" s="22944"/>
      <c r="U132" s="22944"/>
      <c r="V132" s="22944"/>
      <c r="W132" s="22944"/>
      <c r="X132" s="22944"/>
      <c r="Y132" s="22944"/>
      <c r="Z132" s="22944"/>
      <c r="AA132" s="22944"/>
      <c r="AB132" s="22944"/>
      <c r="AC132" s="22944"/>
      <c r="AD132" s="22944"/>
      <c r="AE132" s="22944"/>
      <c r="AF132" s="22944"/>
      <c r="AG132" s="22944"/>
      <c r="AH132" s="22944">
        <v>0</v>
      </c>
    </row>
    <row s="62286" customFormat="1" customHeight="1" ht="18.75">
      <c r="A133" s="2472"/>
      <c r="B133" s="2472"/>
      <c r="C133" s="1061" t="s">
        <v>1219</v>
      </c>
      <c r="D133" s="3154"/>
      <c r="E133" s="2896"/>
      <c r="F133" s="3075"/>
      <c r="G133" s="3119"/>
      <c r="H133" s="2192"/>
      <c r="I133" s="1343" t="s">
        <v>1218</v>
      </c>
      <c r="J133" s="1263"/>
      <c r="K133" s="2192"/>
      <c r="L133" s="906"/>
      <c r="M133" s="2553"/>
      <c r="N133" s="1026"/>
      <c r="O133" s="2316"/>
      <c r="P133" s="2316"/>
      <c r="AH133" s="2323">
        <v>0</v>
      </c>
    </row>
    <row s="62286" customFormat="1" customHeight="1" ht="18.75">
      <c r="A134" s="23333" t="s">
        <v>190</v>
      </c>
      <c r="B134" s="23333" t="s">
        <v>196</v>
      </c>
      <c r="C134" s="26822"/>
      <c r="D134" s="26823"/>
      <c r="E134" s="26824"/>
      <c r="F134" s="26824"/>
      <c r="G134" s="26825" t="str">
        <f>INDEX(PT_DIFFERENTIATION_NTAR,MATCH(B134,PT_DIFFERENTIATION_NTAR_ID,0))</f>
        <v>Тариф на тепловую энергию, поставляемую потребителям АО "ДГК" на территории Владивостокского городского округа Приморского края</v>
      </c>
      <c r="H134" s="23206"/>
      <c r="I134" s="26819">
        <v>45292</v>
      </c>
      <c r="J134" s="26820">
        <v>45657</v>
      </c>
      <c r="K134" s="26910">
        <v>10782463.76</v>
      </c>
      <c r="L134" s="23206" t="s">
        <v>381</v>
      </c>
      <c r="M134" s="26827"/>
      <c r="N134" s="26828"/>
      <c r="O134" s="23339"/>
      <c r="P134" s="23339"/>
      <c r="Q134" s="22944"/>
      <c r="R134" s="22944"/>
      <c r="S134" s="22944"/>
      <c r="T134" s="22944"/>
      <c r="U134" s="22944"/>
      <c r="V134" s="22944"/>
      <c r="W134" s="22944"/>
      <c r="X134" s="22944"/>
      <c r="Y134" s="22944"/>
      <c r="Z134" s="22944"/>
      <c r="AA134" s="22944"/>
      <c r="AB134" s="22944"/>
      <c r="AC134" s="22944"/>
      <c r="AD134" s="22944"/>
      <c r="AE134" s="22944"/>
      <c r="AF134" s="22944"/>
      <c r="AG134" s="22944"/>
      <c r="AH134" s="22944">
        <v>0</v>
      </c>
    </row>
    <row s="62286" customFormat="1" customHeight="1" ht="56.25">
      <c r="A135" s="23333"/>
      <c r="B135" s="23333"/>
      <c r="C135" s="26822"/>
      <c r="D135" s="26823"/>
      <c r="E135" s="26824"/>
      <c r="F135" s="26824"/>
      <c r="G135" s="26824"/>
      <c r="H135" s="23204" t="s">
        <v>104</v>
      </c>
      <c r="I135" s="26819">
        <v>45658</v>
      </c>
      <c r="J135" s="26820">
        <v>46022</v>
      </c>
      <c r="K135" s="26910">
        <v>13162172.79</v>
      </c>
      <c r="L135" s="23206" t="s">
        <v>381</v>
      </c>
      <c r="M135" s="26827"/>
      <c r="N135" s="26828"/>
      <c r="O135" s="23339"/>
      <c r="P135" s="23339"/>
      <c r="Q135" s="22944"/>
      <c r="R135" s="22944"/>
      <c r="S135" s="22944"/>
      <c r="T135" s="22944"/>
      <c r="U135" s="22944"/>
      <c r="V135" s="22944"/>
      <c r="W135" s="22944"/>
      <c r="X135" s="22944"/>
      <c r="Y135" s="22944"/>
      <c r="Z135" s="22944"/>
      <c r="AA135" s="22944"/>
      <c r="AB135" s="22944"/>
      <c r="AC135" s="22944"/>
      <c r="AD135" s="22944"/>
      <c r="AE135" s="22944"/>
      <c r="AF135" s="22944"/>
      <c r="AG135" s="22944"/>
      <c r="AH135" s="22944">
        <v>0</v>
      </c>
    </row>
    <row s="62286" customFormat="1" customHeight="1" ht="56.25">
      <c r="A136" s="23333"/>
      <c r="B136" s="23333"/>
      <c r="C136" s="26822"/>
      <c r="D136" s="26823"/>
      <c r="E136" s="26824"/>
      <c r="F136" s="26824"/>
      <c r="G136" s="26824"/>
      <c r="H136" s="23204" t="s">
        <v>104</v>
      </c>
      <c r="I136" s="26819">
        <v>46023</v>
      </c>
      <c r="J136" s="26820">
        <v>46387</v>
      </c>
      <c r="K136" s="26910">
        <v>17141087.52</v>
      </c>
      <c r="L136" s="23206" t="s">
        <v>381</v>
      </c>
      <c r="M136" s="26827"/>
      <c r="N136" s="26828"/>
      <c r="O136" s="23339"/>
      <c r="P136" s="23339"/>
      <c r="Q136" s="22944"/>
      <c r="R136" s="22944"/>
      <c r="S136" s="22944"/>
      <c r="T136" s="22944"/>
      <c r="U136" s="22944"/>
      <c r="V136" s="22944"/>
      <c r="W136" s="22944"/>
      <c r="X136" s="22944"/>
      <c r="Y136" s="22944"/>
      <c r="Z136" s="22944"/>
      <c r="AA136" s="22944"/>
      <c r="AB136" s="22944"/>
      <c r="AC136" s="22944"/>
      <c r="AD136" s="22944"/>
      <c r="AE136" s="22944"/>
      <c r="AF136" s="22944"/>
      <c r="AG136" s="22944"/>
      <c r="AH136" s="22944">
        <v>0</v>
      </c>
    </row>
    <row s="62286" customFormat="1" customHeight="1" ht="56.25">
      <c r="A137" s="23333"/>
      <c r="B137" s="23333"/>
      <c r="C137" s="26822"/>
      <c r="D137" s="26823"/>
      <c r="E137" s="26824"/>
      <c r="F137" s="26824"/>
      <c r="G137" s="26824"/>
      <c r="H137" s="23204" t="s">
        <v>104</v>
      </c>
      <c r="I137" s="26819">
        <v>46388</v>
      </c>
      <c r="J137" s="26820">
        <v>46752</v>
      </c>
      <c r="K137" s="26910">
        <v>9719652.8</v>
      </c>
      <c r="L137" s="23206" t="s">
        <v>381</v>
      </c>
      <c r="M137" s="26827"/>
      <c r="N137" s="26828"/>
      <c r="O137" s="23339"/>
      <c r="P137" s="23339"/>
      <c r="Q137" s="22944"/>
      <c r="R137" s="22944"/>
      <c r="S137" s="22944"/>
      <c r="T137" s="22944"/>
      <c r="U137" s="22944"/>
      <c r="V137" s="22944"/>
      <c r="W137" s="22944"/>
      <c r="X137" s="22944"/>
      <c r="Y137" s="22944"/>
      <c r="Z137" s="22944"/>
      <c r="AA137" s="22944"/>
      <c r="AB137" s="22944"/>
      <c r="AC137" s="22944"/>
      <c r="AD137" s="22944"/>
      <c r="AE137" s="22944"/>
      <c r="AF137" s="22944"/>
      <c r="AG137" s="22944"/>
      <c r="AH137" s="22944">
        <v>0</v>
      </c>
    </row>
    <row s="62286" customFormat="1" customHeight="1" ht="56.25">
      <c r="A138" s="23333"/>
      <c r="B138" s="23333"/>
      <c r="C138" s="26822"/>
      <c r="D138" s="26823"/>
      <c r="E138" s="26824"/>
      <c r="F138" s="26824"/>
      <c r="G138" s="26824"/>
      <c r="H138" s="23204" t="s">
        <v>104</v>
      </c>
      <c r="I138" s="26819">
        <v>46753</v>
      </c>
      <c r="J138" s="26820">
        <v>47118</v>
      </c>
      <c r="K138" s="26910">
        <v>10008418</v>
      </c>
      <c r="L138" s="23206" t="s">
        <v>381</v>
      </c>
      <c r="M138" s="26827"/>
      <c r="N138" s="26828"/>
      <c r="O138" s="23339"/>
      <c r="P138" s="23339"/>
      <c r="Q138" s="22944"/>
      <c r="R138" s="22944"/>
      <c r="S138" s="22944"/>
      <c r="T138" s="22944"/>
      <c r="U138" s="22944"/>
      <c r="V138" s="22944"/>
      <c r="W138" s="22944"/>
      <c r="X138" s="22944"/>
      <c r="Y138" s="22944"/>
      <c r="Z138" s="22944"/>
      <c r="AA138" s="22944"/>
      <c r="AB138" s="22944"/>
      <c r="AC138" s="22944"/>
      <c r="AD138" s="22944"/>
      <c r="AE138" s="22944"/>
      <c r="AF138" s="22944"/>
      <c r="AG138" s="22944"/>
      <c r="AH138" s="22944">
        <v>0</v>
      </c>
    </row>
    <row s="62286" customFormat="1" customHeight="1" ht="18.75">
      <c r="A139" s="23333"/>
      <c r="B139" s="23333"/>
      <c r="C139" s="26822" t="s">
        <v>1219</v>
      </c>
      <c r="D139" s="26823"/>
      <c r="E139" s="26824"/>
      <c r="F139" s="26824"/>
      <c r="G139" s="26825"/>
      <c r="H139" s="26922"/>
      <c r="I139" s="26923" t="s">
        <v>1218</v>
      </c>
      <c r="J139" s="26924"/>
      <c r="K139" s="26925"/>
      <c r="L139" s="26926"/>
      <c r="M139" s="26827"/>
      <c r="N139" s="26828"/>
      <c r="O139" s="23339"/>
      <c r="P139" s="23339"/>
      <c r="Q139" s="22944"/>
      <c r="R139" s="22944"/>
      <c r="S139" s="22944"/>
      <c r="T139" s="22944"/>
      <c r="U139" s="22944"/>
      <c r="V139" s="22944"/>
      <c r="W139" s="22944"/>
      <c r="X139" s="22944"/>
      <c r="Y139" s="22944"/>
      <c r="Z139" s="22944"/>
      <c r="AA139" s="22944"/>
      <c r="AB139" s="22944"/>
      <c r="AC139" s="22944"/>
      <c r="AD139" s="22944"/>
      <c r="AE139" s="22944"/>
      <c r="AF139" s="22944"/>
      <c r="AG139" s="22944"/>
      <c r="AH139" s="22944">
        <v>0</v>
      </c>
    </row>
    <row s="62286" customFormat="1" customHeight="1" ht="18.75">
      <c r="A140" s="23333" t="s">
        <v>190</v>
      </c>
      <c r="B140" s="23333" t="s">
        <v>201</v>
      </c>
      <c r="C140" s="26822"/>
      <c r="D140" s="26823"/>
      <c r="E140" s="26824"/>
      <c r="F140" s="26824"/>
      <c r="G140" s="26825" t="str">
        <f>INDEX(PT_DIFFERENTIATION_NTAR,MATCH(B140,PT_DIFFERENTIATION_NTAR_ID,0))</f>
        <v>Тариф на тепловую энергию, поставляемую потребителям АО "ДГК" на территории Партизанского городского округа Приморского края</v>
      </c>
      <c r="H140" s="23206"/>
      <c r="I140" s="26819">
        <v>45292</v>
      </c>
      <c r="J140" s="26820">
        <v>45657</v>
      </c>
      <c r="K140" s="26910">
        <v>903651.73</v>
      </c>
      <c r="L140" s="23206" t="s">
        <v>381</v>
      </c>
      <c r="M140" s="26827"/>
      <c r="N140" s="26828"/>
      <c r="O140" s="23339"/>
      <c r="P140" s="23339"/>
      <c r="Q140" s="22944"/>
      <c r="R140" s="22944"/>
      <c r="S140" s="22944"/>
      <c r="T140" s="22944"/>
      <c r="U140" s="22944"/>
      <c r="V140" s="22944"/>
      <c r="W140" s="22944"/>
      <c r="X140" s="22944"/>
      <c r="Y140" s="22944"/>
      <c r="Z140" s="22944"/>
      <c r="AA140" s="22944"/>
      <c r="AB140" s="22944"/>
      <c r="AC140" s="22944"/>
      <c r="AD140" s="22944"/>
      <c r="AE140" s="22944"/>
      <c r="AF140" s="22944"/>
      <c r="AG140" s="22944"/>
      <c r="AH140" s="22944">
        <v>0</v>
      </c>
    </row>
    <row s="62286" customFormat="1" customHeight="1" ht="56.25">
      <c r="A141" s="23333"/>
      <c r="B141" s="23333"/>
      <c r="C141" s="26822"/>
      <c r="D141" s="26823"/>
      <c r="E141" s="26824"/>
      <c r="F141" s="26824"/>
      <c r="G141" s="26824"/>
      <c r="H141" s="23204" t="s">
        <v>104</v>
      </c>
      <c r="I141" s="26819">
        <v>45658</v>
      </c>
      <c r="J141" s="26820">
        <v>46022</v>
      </c>
      <c r="K141" s="26910">
        <v>1229700.27</v>
      </c>
      <c r="L141" s="23206" t="s">
        <v>381</v>
      </c>
      <c r="M141" s="26827"/>
      <c r="N141" s="26828"/>
      <c r="O141" s="23339"/>
      <c r="P141" s="23339"/>
      <c r="Q141" s="22944"/>
      <c r="R141" s="22944"/>
      <c r="S141" s="22944"/>
      <c r="T141" s="22944"/>
      <c r="U141" s="22944"/>
      <c r="V141" s="22944"/>
      <c r="W141" s="22944"/>
      <c r="X141" s="22944"/>
      <c r="Y141" s="22944"/>
      <c r="Z141" s="22944"/>
      <c r="AA141" s="22944"/>
      <c r="AB141" s="22944"/>
      <c r="AC141" s="22944"/>
      <c r="AD141" s="22944"/>
      <c r="AE141" s="22944"/>
      <c r="AF141" s="22944"/>
      <c r="AG141" s="22944"/>
      <c r="AH141" s="22944">
        <v>0</v>
      </c>
    </row>
    <row s="62286" customFormat="1" customHeight="1" ht="56.25">
      <c r="A142" s="23333"/>
      <c r="B142" s="23333"/>
      <c r="C142" s="26822"/>
      <c r="D142" s="26823"/>
      <c r="E142" s="26824"/>
      <c r="F142" s="26824"/>
      <c r="G142" s="26824"/>
      <c r="H142" s="23204" t="s">
        <v>104</v>
      </c>
      <c r="I142" s="26819">
        <v>46023</v>
      </c>
      <c r="J142" s="26820">
        <v>46387</v>
      </c>
      <c r="K142" s="26910">
        <v>1155454.91</v>
      </c>
      <c r="L142" s="23206" t="s">
        <v>381</v>
      </c>
      <c r="M142" s="26827"/>
      <c r="N142" s="26828"/>
      <c r="O142" s="23339"/>
      <c r="P142" s="23339"/>
      <c r="Q142" s="22944"/>
      <c r="R142" s="22944"/>
      <c r="S142" s="22944"/>
      <c r="T142" s="22944"/>
      <c r="U142" s="22944"/>
      <c r="V142" s="22944"/>
      <c r="W142" s="22944"/>
      <c r="X142" s="22944"/>
      <c r="Y142" s="22944"/>
      <c r="Z142" s="22944"/>
      <c r="AA142" s="22944"/>
      <c r="AB142" s="22944"/>
      <c r="AC142" s="22944"/>
      <c r="AD142" s="22944"/>
      <c r="AE142" s="22944"/>
      <c r="AF142" s="22944"/>
      <c r="AG142" s="22944"/>
      <c r="AH142" s="22944">
        <v>0</v>
      </c>
    </row>
    <row s="62286" customFormat="1" customHeight="1" ht="56.25">
      <c r="A143" s="23333"/>
      <c r="B143" s="23333"/>
      <c r="C143" s="26822"/>
      <c r="D143" s="26823"/>
      <c r="E143" s="26824"/>
      <c r="F143" s="26824"/>
      <c r="G143" s="26824"/>
      <c r="H143" s="23204" t="s">
        <v>104</v>
      </c>
      <c r="I143" s="26819">
        <v>46388</v>
      </c>
      <c r="J143" s="26820">
        <v>46752</v>
      </c>
      <c r="K143" s="26910">
        <v>786006.21</v>
      </c>
      <c r="L143" s="23206" t="s">
        <v>381</v>
      </c>
      <c r="M143" s="26827"/>
      <c r="N143" s="26828"/>
      <c r="O143" s="23339"/>
      <c r="P143" s="23339"/>
      <c r="Q143" s="22944"/>
      <c r="R143" s="22944"/>
      <c r="S143" s="22944"/>
      <c r="T143" s="22944"/>
      <c r="U143" s="22944"/>
      <c r="V143" s="22944"/>
      <c r="W143" s="22944"/>
      <c r="X143" s="22944"/>
      <c r="Y143" s="22944"/>
      <c r="Z143" s="22944"/>
      <c r="AA143" s="22944"/>
      <c r="AB143" s="22944"/>
      <c r="AC143" s="22944"/>
      <c r="AD143" s="22944"/>
      <c r="AE143" s="22944"/>
      <c r="AF143" s="22944"/>
      <c r="AG143" s="22944"/>
      <c r="AH143" s="22944">
        <v>0</v>
      </c>
    </row>
    <row s="62286" customFormat="1" customHeight="1" ht="56.25">
      <c r="A144" s="23333"/>
      <c r="B144" s="23333"/>
      <c r="C144" s="26822"/>
      <c r="D144" s="26823"/>
      <c r="E144" s="26824"/>
      <c r="F144" s="26824"/>
      <c r="G144" s="26824"/>
      <c r="H144" s="23204" t="s">
        <v>104</v>
      </c>
      <c r="I144" s="26819">
        <v>46753</v>
      </c>
      <c r="J144" s="26820">
        <v>47118</v>
      </c>
      <c r="K144" s="26910">
        <v>809842.18</v>
      </c>
      <c r="L144" s="23206" t="s">
        <v>381</v>
      </c>
      <c r="M144" s="26827"/>
      <c r="N144" s="26828"/>
      <c r="O144" s="23339"/>
      <c r="P144" s="23339"/>
      <c r="Q144" s="22944"/>
      <c r="R144" s="22944"/>
      <c r="S144" s="22944"/>
      <c r="T144" s="22944"/>
      <c r="U144" s="22944"/>
      <c r="V144" s="22944"/>
      <c r="W144" s="22944"/>
      <c r="X144" s="22944"/>
      <c r="Y144" s="22944"/>
      <c r="Z144" s="22944"/>
      <c r="AA144" s="22944"/>
      <c r="AB144" s="22944"/>
      <c r="AC144" s="22944"/>
      <c r="AD144" s="22944"/>
      <c r="AE144" s="22944"/>
      <c r="AF144" s="22944"/>
      <c r="AG144" s="22944"/>
      <c r="AH144" s="22944">
        <v>0</v>
      </c>
    </row>
    <row s="62286" customFormat="1" customHeight="1" ht="18.75">
      <c r="A145" s="23333"/>
      <c r="B145" s="23333"/>
      <c r="C145" s="26822" t="s">
        <v>1219</v>
      </c>
      <c r="D145" s="26823"/>
      <c r="E145" s="26824"/>
      <c r="F145" s="26824"/>
      <c r="G145" s="26825"/>
      <c r="H145" s="26927"/>
      <c r="I145" s="26928" t="s">
        <v>1218</v>
      </c>
      <c r="J145" s="26929"/>
      <c r="K145" s="26930"/>
      <c r="L145" s="26931"/>
      <c r="M145" s="26827"/>
      <c r="N145" s="26828"/>
      <c r="O145" s="23339"/>
      <c r="P145" s="23339"/>
      <c r="Q145" s="22944"/>
      <c r="R145" s="22944"/>
      <c r="S145" s="22944"/>
      <c r="T145" s="22944"/>
      <c r="U145" s="22944"/>
      <c r="V145" s="22944"/>
      <c r="W145" s="22944"/>
      <c r="X145" s="22944"/>
      <c r="Y145" s="22944"/>
      <c r="Z145" s="22944"/>
      <c r="AA145" s="22944"/>
      <c r="AB145" s="22944"/>
      <c r="AC145" s="22944"/>
      <c r="AD145" s="22944"/>
      <c r="AE145" s="22944"/>
      <c r="AF145" s="22944"/>
      <c r="AG145" s="22944"/>
      <c r="AH145" s="22944">
        <v>0</v>
      </c>
    </row>
    <row s="62286" customFormat="1" customHeight="1" ht="18.75">
      <c r="A146" s="23333" t="s">
        <v>190</v>
      </c>
      <c r="B146" s="23333" t="s">
        <v>206</v>
      </c>
      <c r="C146" s="26822"/>
      <c r="D146" s="26823"/>
      <c r="E146" s="26824"/>
      <c r="F146" s="26824"/>
      <c r="G146" s="26825" t="str">
        <f>INDEX(PT_DIFFERENTIATION_NTAR,MATCH(B146,PT_DIFFERENTIATION_NTAR_ID,0))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146" s="23206"/>
      <c r="I146" s="26819">
        <v>45292</v>
      </c>
      <c r="J146" s="26820">
        <v>45657</v>
      </c>
      <c r="K146" s="26910">
        <v>751.88</v>
      </c>
      <c r="L146" s="23206" t="s">
        <v>381</v>
      </c>
      <c r="M146" s="26827"/>
      <c r="N146" s="26828"/>
      <c r="O146" s="23339"/>
      <c r="P146" s="23339"/>
      <c r="Q146" s="22944"/>
      <c r="R146" s="22944"/>
      <c r="S146" s="22944"/>
      <c r="T146" s="22944"/>
      <c r="U146" s="22944"/>
      <c r="V146" s="22944"/>
      <c r="W146" s="22944"/>
      <c r="X146" s="22944"/>
      <c r="Y146" s="22944"/>
      <c r="Z146" s="22944"/>
      <c r="AA146" s="22944"/>
      <c r="AB146" s="22944"/>
      <c r="AC146" s="22944"/>
      <c r="AD146" s="22944"/>
      <c r="AE146" s="22944"/>
      <c r="AF146" s="22944"/>
      <c r="AG146" s="22944"/>
      <c r="AH146" s="22944">
        <v>0</v>
      </c>
    </row>
    <row s="62286" customFormat="1" customHeight="1" ht="56.25">
      <c r="A147" s="23333"/>
      <c r="B147" s="23333"/>
      <c r="C147" s="26822"/>
      <c r="D147" s="26823"/>
      <c r="E147" s="26824"/>
      <c r="F147" s="26824"/>
      <c r="G147" s="26824"/>
      <c r="H147" s="23204" t="s">
        <v>104</v>
      </c>
      <c r="I147" s="26819">
        <v>45658</v>
      </c>
      <c r="J147" s="26820">
        <v>46022</v>
      </c>
      <c r="K147" s="26910">
        <f>'ТС. Т-ТЭ | ТСО'!AL91*K290</f>
        <v>752.4777</v>
      </c>
      <c r="L147" s="23206" t="s">
        <v>381</v>
      </c>
      <c r="M147" s="26827"/>
      <c r="N147" s="26828"/>
      <c r="O147" s="23339"/>
      <c r="P147" s="23339"/>
      <c r="Q147" s="22944"/>
      <c r="R147" s="22944"/>
      <c r="S147" s="22944"/>
      <c r="T147" s="22944"/>
      <c r="U147" s="22944"/>
      <c r="V147" s="22944"/>
      <c r="W147" s="22944"/>
      <c r="X147" s="22944"/>
      <c r="Y147" s="22944"/>
      <c r="Z147" s="22944"/>
      <c r="AA147" s="22944"/>
      <c r="AB147" s="22944"/>
      <c r="AC147" s="22944"/>
      <c r="AD147" s="22944"/>
      <c r="AE147" s="22944"/>
      <c r="AF147" s="22944"/>
      <c r="AG147" s="22944"/>
      <c r="AH147" s="22944">
        <v>0</v>
      </c>
    </row>
    <row s="62286" customFormat="1" customHeight="1" ht="56.25">
      <c r="A148" s="23333"/>
      <c r="B148" s="23333"/>
      <c r="C148" s="26822"/>
      <c r="D148" s="26823"/>
      <c r="E148" s="26824"/>
      <c r="F148" s="26824"/>
      <c r="G148" s="26824"/>
      <c r="H148" s="23204" t="s">
        <v>104</v>
      </c>
      <c r="I148" s="26819">
        <v>46023</v>
      </c>
      <c r="J148" s="26820">
        <v>46387</v>
      </c>
      <c r="K148" s="26910">
        <f>'ТС. Т-ТЭ | ТСО'!AT91*K291</f>
        <v>896.688</v>
      </c>
      <c r="L148" s="23206" t="s">
        <v>381</v>
      </c>
      <c r="M148" s="26827"/>
      <c r="N148" s="26828"/>
      <c r="O148" s="23339"/>
      <c r="P148" s="23339"/>
      <c r="Q148" s="22944"/>
      <c r="R148" s="22944"/>
      <c r="S148" s="22944"/>
      <c r="T148" s="22944"/>
      <c r="U148" s="22944"/>
      <c r="V148" s="22944"/>
      <c r="W148" s="22944"/>
      <c r="X148" s="22944"/>
      <c r="Y148" s="22944"/>
      <c r="Z148" s="22944"/>
      <c r="AA148" s="22944"/>
      <c r="AB148" s="22944"/>
      <c r="AC148" s="22944"/>
      <c r="AD148" s="22944"/>
      <c r="AE148" s="22944"/>
      <c r="AF148" s="22944"/>
      <c r="AG148" s="22944"/>
      <c r="AH148" s="22944">
        <v>0</v>
      </c>
    </row>
    <row s="62286" customFormat="1" customHeight="1" ht="56.25">
      <c r="A149" s="23333"/>
      <c r="B149" s="23333"/>
      <c r="C149" s="26822"/>
      <c r="D149" s="26823"/>
      <c r="E149" s="26824"/>
      <c r="F149" s="26824"/>
      <c r="G149" s="26824"/>
      <c r="H149" s="23204" t="s">
        <v>104</v>
      </c>
      <c r="I149" s="26819">
        <v>46388</v>
      </c>
      <c r="J149" s="26820">
        <v>46752</v>
      </c>
      <c r="K149" s="26910">
        <v>832.62</v>
      </c>
      <c r="L149" s="23206" t="s">
        <v>381</v>
      </c>
      <c r="M149" s="26827"/>
      <c r="N149" s="26828"/>
      <c r="O149" s="23339"/>
      <c r="P149" s="23339"/>
      <c r="Q149" s="22944"/>
      <c r="R149" s="22944"/>
      <c r="S149" s="22944"/>
      <c r="T149" s="22944"/>
      <c r="U149" s="22944"/>
      <c r="V149" s="22944"/>
      <c r="W149" s="22944"/>
      <c r="X149" s="22944"/>
      <c r="Y149" s="22944"/>
      <c r="Z149" s="22944"/>
      <c r="AA149" s="22944"/>
      <c r="AB149" s="22944"/>
      <c r="AC149" s="22944"/>
      <c r="AD149" s="22944"/>
      <c r="AE149" s="22944"/>
      <c r="AF149" s="22944"/>
      <c r="AG149" s="22944"/>
      <c r="AH149" s="22944">
        <v>0</v>
      </c>
    </row>
    <row s="62286" customFormat="1" customHeight="1" ht="56.25">
      <c r="A150" s="23333"/>
      <c r="B150" s="23333"/>
      <c r="C150" s="26822"/>
      <c r="D150" s="26823"/>
      <c r="E150" s="26824"/>
      <c r="F150" s="26824"/>
      <c r="G150" s="26824"/>
      <c r="H150" s="23204" t="s">
        <v>104</v>
      </c>
      <c r="I150" s="26819">
        <v>46753</v>
      </c>
      <c r="J150" s="26820">
        <v>47118</v>
      </c>
      <c r="K150" s="26910">
        <v>854.38</v>
      </c>
      <c r="L150" s="23206" t="s">
        <v>381</v>
      </c>
      <c r="M150" s="26827"/>
      <c r="N150" s="26828"/>
      <c r="O150" s="23339"/>
      <c r="P150" s="23339"/>
      <c r="Q150" s="22944"/>
      <c r="R150" s="22944"/>
      <c r="S150" s="22944"/>
      <c r="T150" s="22944"/>
      <c r="U150" s="22944"/>
      <c r="V150" s="22944"/>
      <c r="W150" s="22944"/>
      <c r="X150" s="22944"/>
      <c r="Y150" s="22944"/>
      <c r="Z150" s="22944"/>
      <c r="AA150" s="22944"/>
      <c r="AB150" s="22944"/>
      <c r="AC150" s="22944"/>
      <c r="AD150" s="22944"/>
      <c r="AE150" s="22944"/>
      <c r="AF150" s="22944"/>
      <c r="AG150" s="22944"/>
      <c r="AH150" s="22944">
        <v>0</v>
      </c>
    </row>
    <row s="62286" customFormat="1" customHeight="1" ht="18.75">
      <c r="A151" s="23333"/>
      <c r="B151" s="23333"/>
      <c r="C151" s="26822" t="s">
        <v>1219</v>
      </c>
      <c r="D151" s="26823"/>
      <c r="E151" s="26824"/>
      <c r="F151" s="26824"/>
      <c r="G151" s="26825"/>
      <c r="H151" s="26932"/>
      <c r="I151" s="26933" t="s">
        <v>1218</v>
      </c>
      <c r="J151" s="26934"/>
      <c r="K151" s="26935"/>
      <c r="L151" s="26936"/>
      <c r="M151" s="26827"/>
      <c r="N151" s="26828"/>
      <c r="O151" s="23339"/>
      <c r="P151" s="23339"/>
      <c r="Q151" s="22944"/>
      <c r="R151" s="22944"/>
      <c r="S151" s="22944"/>
      <c r="T151" s="22944"/>
      <c r="U151" s="22944"/>
      <c r="V151" s="22944"/>
      <c r="W151" s="22944"/>
      <c r="X151" s="22944"/>
      <c r="Y151" s="22944"/>
      <c r="Z151" s="22944"/>
      <c r="AA151" s="22944"/>
      <c r="AB151" s="22944"/>
      <c r="AC151" s="22944"/>
      <c r="AD151" s="22944"/>
      <c r="AE151" s="22944"/>
      <c r="AF151" s="22944"/>
      <c r="AG151" s="22944"/>
      <c r="AH151" s="22944">
        <v>0</v>
      </c>
    </row>
    <row s="62286" customFormat="1" customHeight="1" ht="18.75">
      <c r="A152" s="23333" t="s">
        <v>190</v>
      </c>
      <c r="B152" s="23333" t="s">
        <v>211</v>
      </c>
      <c r="C152" s="26822"/>
      <c r="D152" s="26823"/>
      <c r="E152" s="26824"/>
      <c r="F152" s="26824"/>
      <c r="G152" s="26825" t="str">
        <f>INDEX(PT_DIFFERENTIATION_NTAR,MATCH(B152,PT_DIFFERENTIATION_NTAR_ID,0))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152" s="23206"/>
      <c r="I152" s="26819">
        <v>45292</v>
      </c>
      <c r="J152" s="26820">
        <v>45657</v>
      </c>
      <c r="K152" s="26910">
        <v>863373.69</v>
      </c>
      <c r="L152" s="23206" t="s">
        <v>381</v>
      </c>
      <c r="M152" s="26827"/>
      <c r="N152" s="26828"/>
      <c r="O152" s="23339"/>
      <c r="P152" s="23339"/>
      <c r="Q152" s="22944"/>
      <c r="R152" s="22944"/>
      <c r="S152" s="22944"/>
      <c r="T152" s="22944"/>
      <c r="U152" s="22944"/>
      <c r="V152" s="22944"/>
      <c r="W152" s="22944"/>
      <c r="X152" s="22944"/>
      <c r="Y152" s="22944"/>
      <c r="Z152" s="22944"/>
      <c r="AA152" s="22944"/>
      <c r="AB152" s="22944"/>
      <c r="AC152" s="22944"/>
      <c r="AD152" s="22944"/>
      <c r="AE152" s="22944"/>
      <c r="AF152" s="22944"/>
      <c r="AG152" s="22944"/>
      <c r="AH152" s="22944">
        <v>0</v>
      </c>
    </row>
    <row s="62286" customFormat="1" customHeight="1" ht="56.25">
      <c r="A153" s="23333"/>
      <c r="B153" s="23333"/>
      <c r="C153" s="26822"/>
      <c r="D153" s="26823"/>
      <c r="E153" s="26824"/>
      <c r="F153" s="26824"/>
      <c r="G153" s="26824"/>
      <c r="H153" s="23204" t="s">
        <v>104</v>
      </c>
      <c r="I153" s="26819">
        <v>45658</v>
      </c>
      <c r="J153" s="26820">
        <v>46022</v>
      </c>
      <c r="K153" s="26910">
        <f>'ТС. Т-ТЭ | ТСО'!AL105*K296</f>
        <v>1044190.5156</v>
      </c>
      <c r="L153" s="23206" t="s">
        <v>381</v>
      </c>
      <c r="M153" s="26827"/>
      <c r="N153" s="26828"/>
      <c r="O153" s="23339"/>
      <c r="P153" s="23339"/>
      <c r="Q153" s="22944"/>
      <c r="R153" s="22944"/>
      <c r="S153" s="22944"/>
      <c r="T153" s="22944"/>
      <c r="U153" s="22944"/>
      <c r="V153" s="22944"/>
      <c r="W153" s="22944"/>
      <c r="X153" s="22944"/>
      <c r="Y153" s="22944"/>
      <c r="Z153" s="22944"/>
      <c r="AA153" s="22944"/>
      <c r="AB153" s="22944"/>
      <c r="AC153" s="22944"/>
      <c r="AD153" s="22944"/>
      <c r="AE153" s="22944"/>
      <c r="AF153" s="22944"/>
      <c r="AG153" s="22944"/>
      <c r="AH153" s="22944">
        <v>0</v>
      </c>
    </row>
    <row s="62286" customFormat="1" customHeight="1" ht="56.25">
      <c r="A154" s="23333"/>
      <c r="B154" s="23333"/>
      <c r="C154" s="26822"/>
      <c r="D154" s="26823"/>
      <c r="E154" s="26824"/>
      <c r="F154" s="26824"/>
      <c r="G154" s="26824"/>
      <c r="H154" s="23204" t="s">
        <v>104</v>
      </c>
      <c r="I154" s="26819">
        <v>46023</v>
      </c>
      <c r="J154" s="26820">
        <v>46387</v>
      </c>
      <c r="K154" s="26910">
        <f>'ТС. Т-ТЭ | ТСО'!AT105*K297</f>
        <v>1414125.108</v>
      </c>
      <c r="L154" s="23206" t="s">
        <v>381</v>
      </c>
      <c r="M154" s="26827"/>
      <c r="N154" s="26828"/>
      <c r="O154" s="23339"/>
      <c r="P154" s="23339"/>
      <c r="Q154" s="22944"/>
      <c r="R154" s="22944"/>
      <c r="S154" s="22944"/>
      <c r="T154" s="22944"/>
      <c r="U154" s="22944"/>
      <c r="V154" s="22944"/>
      <c r="W154" s="22944"/>
      <c r="X154" s="22944"/>
      <c r="Y154" s="22944"/>
      <c r="Z154" s="22944"/>
      <c r="AA154" s="22944"/>
      <c r="AB154" s="22944"/>
      <c r="AC154" s="22944"/>
      <c r="AD154" s="22944"/>
      <c r="AE154" s="22944"/>
      <c r="AF154" s="22944"/>
      <c r="AG154" s="22944"/>
      <c r="AH154" s="22944">
        <v>0</v>
      </c>
    </row>
    <row s="62286" customFormat="1" customHeight="1" ht="56.25">
      <c r="A155" s="23333"/>
      <c r="B155" s="23333"/>
      <c r="C155" s="26822"/>
      <c r="D155" s="26823"/>
      <c r="E155" s="26824"/>
      <c r="F155" s="26824"/>
      <c r="G155" s="26824"/>
      <c r="H155" s="23204" t="s">
        <v>104</v>
      </c>
      <c r="I155" s="26819">
        <v>46388</v>
      </c>
      <c r="J155" s="26820">
        <v>46752</v>
      </c>
      <c r="K155" s="26910">
        <v>798985.23</v>
      </c>
      <c r="L155" s="23206" t="s">
        <v>381</v>
      </c>
      <c r="M155" s="26827"/>
      <c r="N155" s="26828"/>
      <c r="O155" s="23339"/>
      <c r="P155" s="23339"/>
      <c r="Q155" s="22944"/>
      <c r="R155" s="22944"/>
      <c r="S155" s="22944"/>
      <c r="T155" s="22944"/>
      <c r="U155" s="22944"/>
      <c r="V155" s="22944"/>
      <c r="W155" s="22944"/>
      <c r="X155" s="22944"/>
      <c r="Y155" s="22944"/>
      <c r="Z155" s="22944"/>
      <c r="AA155" s="22944"/>
      <c r="AB155" s="22944"/>
      <c r="AC155" s="22944"/>
      <c r="AD155" s="22944"/>
      <c r="AE155" s="22944"/>
      <c r="AF155" s="22944"/>
      <c r="AG155" s="22944"/>
      <c r="AH155" s="22944">
        <v>0</v>
      </c>
    </row>
    <row s="62286" customFormat="1" customHeight="1" ht="56.25">
      <c r="A156" s="23333"/>
      <c r="B156" s="23333"/>
      <c r="C156" s="26822"/>
      <c r="D156" s="26823"/>
      <c r="E156" s="26824"/>
      <c r="F156" s="26824"/>
      <c r="G156" s="26824"/>
      <c r="H156" s="23204" t="s">
        <v>104</v>
      </c>
      <c r="I156" s="26819">
        <v>46753</v>
      </c>
      <c r="J156" s="26820">
        <v>47118</v>
      </c>
      <c r="K156" s="26910">
        <v>825414.26</v>
      </c>
      <c r="L156" s="23206" t="s">
        <v>381</v>
      </c>
      <c r="M156" s="26827"/>
      <c r="N156" s="26828"/>
      <c r="O156" s="23339"/>
      <c r="P156" s="23339"/>
      <c r="Q156" s="22944"/>
      <c r="R156" s="22944"/>
      <c r="S156" s="22944"/>
      <c r="T156" s="22944"/>
      <c r="U156" s="22944"/>
      <c r="V156" s="22944"/>
      <c r="W156" s="22944"/>
      <c r="X156" s="22944"/>
      <c r="Y156" s="22944"/>
      <c r="Z156" s="22944"/>
      <c r="AA156" s="22944"/>
      <c r="AB156" s="22944"/>
      <c r="AC156" s="22944"/>
      <c r="AD156" s="22944"/>
      <c r="AE156" s="22944"/>
      <c r="AF156" s="22944"/>
      <c r="AG156" s="22944"/>
      <c r="AH156" s="22944">
        <v>0</v>
      </c>
    </row>
    <row s="62286" customFormat="1" customHeight="1" ht="18.75">
      <c r="A157" s="23333"/>
      <c r="B157" s="23333"/>
      <c r="C157" s="26822" t="s">
        <v>1219</v>
      </c>
      <c r="D157" s="26823"/>
      <c r="E157" s="26824"/>
      <c r="F157" s="26824"/>
      <c r="G157" s="26825"/>
      <c r="H157" s="26937"/>
      <c r="I157" s="26938" t="s">
        <v>1218</v>
      </c>
      <c r="J157" s="26939"/>
      <c r="K157" s="26940"/>
      <c r="L157" s="26941"/>
      <c r="M157" s="26827"/>
      <c r="N157" s="26828"/>
      <c r="O157" s="23339"/>
      <c r="P157" s="23339"/>
      <c r="Q157" s="22944"/>
      <c r="R157" s="22944"/>
      <c r="S157" s="22944"/>
      <c r="T157" s="22944"/>
      <c r="U157" s="22944"/>
      <c r="V157" s="22944"/>
      <c r="W157" s="22944"/>
      <c r="X157" s="22944"/>
      <c r="Y157" s="22944"/>
      <c r="Z157" s="22944"/>
      <c r="AA157" s="22944"/>
      <c r="AB157" s="22944"/>
      <c r="AC157" s="22944"/>
      <c r="AD157" s="22944"/>
      <c r="AE157" s="22944"/>
      <c r="AF157" s="22944"/>
      <c r="AG157" s="22944"/>
      <c r="AH157" s="22944">
        <v>0</v>
      </c>
    </row>
    <row s="62286" customFormat="1" customHeight="1" ht="18.75">
      <c r="A158" s="23333" t="s">
        <v>190</v>
      </c>
      <c r="B158" s="23333" t="s">
        <v>216</v>
      </c>
      <c r="C158" s="26822"/>
      <c r="D158" s="26823"/>
      <c r="E158" s="26824"/>
      <c r="F158" s="26824"/>
      <c r="G158" s="26825" t="str">
        <f>INDEX(PT_DIFFERENTIATION_NTAR,MATCH(B158,PT_DIFFERENTIATION_NTAR_ID,0))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158" s="23206"/>
      <c r="I158" s="26819">
        <v>45292</v>
      </c>
      <c r="J158" s="26820">
        <v>45657</v>
      </c>
      <c r="K158" s="26910">
        <v>0</v>
      </c>
      <c r="L158" s="23206" t="s">
        <v>381</v>
      </c>
      <c r="M158" s="26827"/>
      <c r="N158" s="26828"/>
      <c r="O158" s="23339"/>
      <c r="P158" s="23339"/>
      <c r="Q158" s="22944"/>
      <c r="R158" s="22944"/>
      <c r="S158" s="22944"/>
      <c r="T158" s="22944"/>
      <c r="U158" s="22944"/>
      <c r="V158" s="22944"/>
      <c r="W158" s="22944"/>
      <c r="X158" s="22944"/>
      <c r="Y158" s="22944"/>
      <c r="Z158" s="22944"/>
      <c r="AA158" s="22944"/>
      <c r="AB158" s="22944"/>
      <c r="AC158" s="22944"/>
      <c r="AD158" s="22944"/>
      <c r="AE158" s="22944"/>
      <c r="AF158" s="22944"/>
      <c r="AG158" s="22944"/>
      <c r="AH158" s="22944">
        <v>0</v>
      </c>
    </row>
    <row s="62286" customFormat="1" customHeight="1" ht="56.25">
      <c r="A159" s="23333"/>
      <c r="B159" s="23333"/>
      <c r="C159" s="26822"/>
      <c r="D159" s="26823"/>
      <c r="E159" s="26824"/>
      <c r="F159" s="26824"/>
      <c r="G159" s="26824"/>
      <c r="H159" s="23204" t="s">
        <v>104</v>
      </c>
      <c r="I159" s="26819">
        <v>45658</v>
      </c>
      <c r="J159" s="26820">
        <v>46022</v>
      </c>
      <c r="K159" s="26910">
        <f>'ТС. Т-ТЭ | ТСО'!AL119*K302</f>
        <v>0</v>
      </c>
      <c r="L159" s="23206" t="s">
        <v>381</v>
      </c>
      <c r="M159" s="26827"/>
      <c r="N159" s="26828"/>
      <c r="O159" s="23339"/>
      <c r="P159" s="23339"/>
      <c r="Q159" s="22944"/>
      <c r="R159" s="22944"/>
      <c r="S159" s="22944"/>
      <c r="T159" s="22944"/>
      <c r="U159" s="22944"/>
      <c r="V159" s="22944"/>
      <c r="W159" s="22944"/>
      <c r="X159" s="22944"/>
      <c r="Y159" s="22944"/>
      <c r="Z159" s="22944"/>
      <c r="AA159" s="22944"/>
      <c r="AB159" s="22944"/>
      <c r="AC159" s="22944"/>
      <c r="AD159" s="22944"/>
      <c r="AE159" s="22944"/>
      <c r="AF159" s="22944"/>
      <c r="AG159" s="22944"/>
      <c r="AH159" s="22944">
        <v>0</v>
      </c>
    </row>
    <row s="62286" customFormat="1" customHeight="1" ht="56.25">
      <c r="A160" s="23333"/>
      <c r="B160" s="23333"/>
      <c r="C160" s="26822"/>
      <c r="D160" s="26823"/>
      <c r="E160" s="26824"/>
      <c r="F160" s="26824"/>
      <c r="G160" s="26824"/>
      <c r="H160" s="23204" t="s">
        <v>104</v>
      </c>
      <c r="I160" s="26819">
        <v>46023</v>
      </c>
      <c r="J160" s="26820">
        <v>46387</v>
      </c>
      <c r="K160" s="26910">
        <v>0</v>
      </c>
      <c r="L160" s="23206" t="s">
        <v>381</v>
      </c>
      <c r="M160" s="26827"/>
      <c r="N160" s="26828"/>
      <c r="O160" s="23339"/>
      <c r="P160" s="23339"/>
      <c r="Q160" s="22944"/>
      <c r="R160" s="22944"/>
      <c r="S160" s="22944"/>
      <c r="T160" s="22944"/>
      <c r="U160" s="22944"/>
      <c r="V160" s="22944"/>
      <c r="W160" s="22944"/>
      <c r="X160" s="22944"/>
      <c r="Y160" s="22944"/>
      <c r="Z160" s="22944"/>
      <c r="AA160" s="22944"/>
      <c r="AB160" s="22944"/>
      <c r="AC160" s="22944"/>
      <c r="AD160" s="22944"/>
      <c r="AE160" s="22944"/>
      <c r="AF160" s="22944"/>
      <c r="AG160" s="22944"/>
      <c r="AH160" s="22944">
        <v>0</v>
      </c>
    </row>
    <row s="62286" customFormat="1" customHeight="1" ht="56.25">
      <c r="A161" s="23333"/>
      <c r="B161" s="23333"/>
      <c r="C161" s="26822"/>
      <c r="D161" s="26823"/>
      <c r="E161" s="26824"/>
      <c r="F161" s="26824"/>
      <c r="G161" s="26824"/>
      <c r="H161" s="23204" t="s">
        <v>104</v>
      </c>
      <c r="I161" s="26819">
        <v>46388</v>
      </c>
      <c r="J161" s="26820">
        <v>46752</v>
      </c>
      <c r="K161" s="26910">
        <v>0</v>
      </c>
      <c r="L161" s="23206" t="s">
        <v>381</v>
      </c>
      <c r="M161" s="26827"/>
      <c r="N161" s="26828"/>
      <c r="O161" s="23339"/>
      <c r="P161" s="23339"/>
      <c r="Q161" s="22944"/>
      <c r="R161" s="22944"/>
      <c r="S161" s="22944"/>
      <c r="T161" s="22944"/>
      <c r="U161" s="22944"/>
      <c r="V161" s="22944"/>
      <c r="W161" s="22944"/>
      <c r="X161" s="22944"/>
      <c r="Y161" s="22944"/>
      <c r="Z161" s="22944"/>
      <c r="AA161" s="22944"/>
      <c r="AB161" s="22944"/>
      <c r="AC161" s="22944"/>
      <c r="AD161" s="22944"/>
      <c r="AE161" s="22944"/>
      <c r="AF161" s="22944"/>
      <c r="AG161" s="22944"/>
      <c r="AH161" s="22944">
        <v>0</v>
      </c>
    </row>
    <row s="62286" customFormat="1" customHeight="1" ht="56.25">
      <c r="A162" s="23333"/>
      <c r="B162" s="23333"/>
      <c r="C162" s="26822"/>
      <c r="D162" s="26823"/>
      <c r="E162" s="26824"/>
      <c r="F162" s="26824"/>
      <c r="G162" s="26824"/>
      <c r="H162" s="23204" t="s">
        <v>104</v>
      </c>
      <c r="I162" s="26819">
        <v>46753</v>
      </c>
      <c r="J162" s="26820">
        <v>47118</v>
      </c>
      <c r="K162" s="26910">
        <v>0</v>
      </c>
      <c r="L162" s="23206" t="s">
        <v>381</v>
      </c>
      <c r="M162" s="26827"/>
      <c r="N162" s="26828"/>
      <c r="O162" s="23339"/>
      <c r="P162" s="23339"/>
      <c r="Q162" s="22944"/>
      <c r="R162" s="22944"/>
      <c r="S162" s="22944"/>
      <c r="T162" s="22944"/>
      <c r="U162" s="22944"/>
      <c r="V162" s="22944"/>
      <c r="W162" s="22944"/>
      <c r="X162" s="22944"/>
      <c r="Y162" s="22944"/>
      <c r="Z162" s="22944"/>
      <c r="AA162" s="22944"/>
      <c r="AB162" s="22944"/>
      <c r="AC162" s="22944"/>
      <c r="AD162" s="22944"/>
      <c r="AE162" s="22944"/>
      <c r="AF162" s="22944"/>
      <c r="AG162" s="22944"/>
      <c r="AH162" s="22944">
        <v>0</v>
      </c>
    </row>
    <row s="62286" customFormat="1" customHeight="1" ht="18.75">
      <c r="A163" s="23333"/>
      <c r="B163" s="23333"/>
      <c r="C163" s="26822" t="s">
        <v>1219</v>
      </c>
      <c r="D163" s="26823"/>
      <c r="E163" s="26824"/>
      <c r="F163" s="26824"/>
      <c r="G163" s="26825"/>
      <c r="H163" s="26942"/>
      <c r="I163" s="26943" t="s">
        <v>1218</v>
      </c>
      <c r="J163" s="26944"/>
      <c r="K163" s="26945"/>
      <c r="L163" s="26946"/>
      <c r="M163" s="26827"/>
      <c r="N163" s="26828"/>
      <c r="O163" s="23339"/>
      <c r="P163" s="23339"/>
      <c r="Q163" s="22944"/>
      <c r="R163" s="22944"/>
      <c r="S163" s="22944"/>
      <c r="T163" s="22944"/>
      <c r="U163" s="22944"/>
      <c r="V163" s="22944"/>
      <c r="W163" s="22944"/>
      <c r="X163" s="22944"/>
      <c r="Y163" s="22944"/>
      <c r="Z163" s="22944"/>
      <c r="AA163" s="22944"/>
      <c r="AB163" s="22944"/>
      <c r="AC163" s="22944"/>
      <c r="AD163" s="22944"/>
      <c r="AE163" s="22944"/>
      <c r="AF163" s="22944"/>
      <c r="AG163" s="22944"/>
      <c r="AH163" s="22944">
        <v>0</v>
      </c>
    </row>
    <row s="62286" customFormat="1" customHeight="1" ht="0.75">
      <c r="A164" s="2472"/>
      <c r="B164" s="2472"/>
      <c r="C164" s="1061" t="s">
        <v>1228</v>
      </c>
      <c r="D164" s="3154"/>
      <c r="E164" s="2896"/>
      <c r="F164" s="3075"/>
      <c r="G164" s="1092"/>
      <c r="H164" s="2192"/>
      <c r="I164" s="1343"/>
      <c r="J164" s="1263"/>
      <c r="K164" s="2192"/>
      <c r="L164" s="906"/>
      <c r="M164" s="1033"/>
      <c r="N164" s="1026"/>
      <c r="O164" s="2316"/>
      <c r="P164" s="2316"/>
      <c r="AH164" s="2323">
        <v>0</v>
      </c>
    </row>
    <row s="62286" customFormat="1" customHeight="1" ht="14.25">
      <c r="A165" s="2472" t="s">
        <v>223</v>
      </c>
      <c r="B165" s="2472" t="s">
        <v>224</v>
      </c>
      <c r="C165" s="1061"/>
      <c r="D165" s="3154"/>
      <c r="E165" s="2896"/>
      <c r="F165" s="3075" t="str">
        <f>INDEX(PT_DIFFERENTIATION_VTAR,MATCH(A165,PT_DIFFERENTIATION_VTAR_ID,0))</f>
        <v>Тарифы на теплоноситель, поставляемый теплоснабжающими организациями потребителям, другим теплоснабжающим организациям</v>
      </c>
      <c r="G165" s="3119" t="str">
        <f>INDEX(PT_DIFFERENTIATION_NTAR,MATCH(B165,PT_DIFFERENTIATION_NTAR_ID,0))</f>
        <v>Тарифы на теплоноситель, поставляемый потребителям Артемовского городского округа</v>
      </c>
      <c r="H165" s="2554"/>
      <c r="I165" s="9324">
        <v>45292</v>
      </c>
      <c r="J165" s="2465">
        <v>45657</v>
      </c>
      <c r="K165" s="2470">
        <v>502.65</v>
      </c>
      <c r="L165" s="2554" t="s">
        <v>381</v>
      </c>
      <c r="M165" s="1033"/>
      <c r="N165" s="1026"/>
      <c r="O165" s="2316"/>
      <c r="P165" s="2316"/>
      <c r="AH165" s="2323">
        <v>0</v>
      </c>
    </row>
    <row s="62286" customFormat="1" customHeight="1" ht="14.25">
      <c r="A166" s="8094"/>
      <c r="B166" s="8094"/>
      <c r="C166" s="9344"/>
      <c r="D166" s="9345"/>
      <c r="E166" s="9346"/>
      <c r="F166" s="9346"/>
      <c r="G166" s="9346"/>
      <c r="H166" s="7448" t="s">
        <v>104</v>
      </c>
      <c r="I166" s="9324">
        <v>45658</v>
      </c>
      <c r="J166" s="9325">
        <v>46022</v>
      </c>
      <c r="K166" s="9364">
        <v>598.33</v>
      </c>
      <c r="L166" s="7450" t="s">
        <v>381</v>
      </c>
      <c r="M166" s="7985"/>
      <c r="N166" s="9349"/>
      <c r="O166" s="8100"/>
      <c r="P166" s="8100"/>
      <c r="Q166" s="7330"/>
      <c r="R166" s="7330"/>
      <c r="S166" s="7330"/>
      <c r="T166" s="7330"/>
      <c r="U166" s="7330"/>
      <c r="V166" s="7330"/>
      <c r="W166" s="7330"/>
      <c r="X166" s="7330"/>
      <c r="Y166" s="7330"/>
      <c r="Z166" s="7330"/>
      <c r="AA166" s="7330"/>
      <c r="AB166" s="7330"/>
      <c r="AC166" s="7330"/>
      <c r="AD166" s="7330"/>
      <c r="AE166" s="7330"/>
      <c r="AF166" s="7330"/>
      <c r="AG166" s="7330"/>
      <c r="AH166" s="7330">
        <v>0</v>
      </c>
    </row>
    <row s="62286" customFormat="1" customHeight="1" ht="14.25">
      <c r="A167" s="8094"/>
      <c r="B167" s="8094"/>
      <c r="C167" s="9344"/>
      <c r="D167" s="9345"/>
      <c r="E167" s="9346"/>
      <c r="F167" s="9346"/>
      <c r="G167" s="9346"/>
      <c r="H167" s="7448" t="s">
        <v>104</v>
      </c>
      <c r="I167" s="9324">
        <v>46023</v>
      </c>
      <c r="J167" s="9325">
        <v>46387</v>
      </c>
      <c r="K167" s="9364">
        <v>658.8</v>
      </c>
      <c r="L167" s="7450" t="s">
        <v>381</v>
      </c>
      <c r="M167" s="7985"/>
      <c r="N167" s="9349"/>
      <c r="O167" s="8100"/>
      <c r="P167" s="8100"/>
      <c r="Q167" s="7330"/>
      <c r="R167" s="7330"/>
      <c r="S167" s="7330"/>
      <c r="T167" s="7330"/>
      <c r="U167" s="7330"/>
      <c r="V167" s="7330"/>
      <c r="W167" s="7330"/>
      <c r="X167" s="7330"/>
      <c r="Y167" s="7330"/>
      <c r="Z167" s="7330"/>
      <c r="AA167" s="7330"/>
      <c r="AB167" s="7330"/>
      <c r="AC167" s="7330"/>
      <c r="AD167" s="7330"/>
      <c r="AE167" s="7330"/>
      <c r="AF167" s="7330"/>
      <c r="AG167" s="7330"/>
      <c r="AH167" s="7330">
        <v>0</v>
      </c>
    </row>
    <row s="62286" customFormat="1" customHeight="1" ht="14.25">
      <c r="A168" s="8094"/>
      <c r="B168" s="8094"/>
      <c r="C168" s="9344"/>
      <c r="D168" s="9345"/>
      <c r="E168" s="9346"/>
      <c r="F168" s="9346"/>
      <c r="G168" s="9346"/>
      <c r="H168" s="7448" t="s">
        <v>104</v>
      </c>
      <c r="I168" s="9324">
        <v>46388</v>
      </c>
      <c r="J168" s="9325">
        <v>46752</v>
      </c>
      <c r="K168" s="9364">
        <v>234.24</v>
      </c>
      <c r="L168" s="7450" t="s">
        <v>381</v>
      </c>
      <c r="M168" s="7985"/>
      <c r="N168" s="9349"/>
      <c r="O168" s="8100"/>
      <c r="P168" s="8100"/>
      <c r="Q168" s="7330"/>
      <c r="R168" s="7330"/>
      <c r="S168" s="7330"/>
      <c r="T168" s="7330"/>
      <c r="U168" s="7330"/>
      <c r="V168" s="7330"/>
      <c r="W168" s="7330"/>
      <c r="X168" s="7330"/>
      <c r="Y168" s="7330"/>
      <c r="Z168" s="7330"/>
      <c r="AA168" s="7330"/>
      <c r="AB168" s="7330"/>
      <c r="AC168" s="7330"/>
      <c r="AD168" s="7330"/>
      <c r="AE168" s="7330"/>
      <c r="AF168" s="7330"/>
      <c r="AG168" s="7330"/>
      <c r="AH168" s="7330">
        <v>0</v>
      </c>
    </row>
    <row s="62286" customFormat="1" customHeight="1" ht="14.25">
      <c r="A169" s="8094"/>
      <c r="B169" s="8094"/>
      <c r="C169" s="9344"/>
      <c r="D169" s="9345"/>
      <c r="E169" s="9346"/>
      <c r="F169" s="9346"/>
      <c r="G169" s="9346"/>
      <c r="H169" s="7448" t="s">
        <v>104</v>
      </c>
      <c r="I169" s="9324">
        <v>46753</v>
      </c>
      <c r="J169" s="9325">
        <v>47118</v>
      </c>
      <c r="K169" s="9364">
        <v>237.66</v>
      </c>
      <c r="L169" s="7450" t="s">
        <v>381</v>
      </c>
      <c r="M169" s="7985"/>
      <c r="N169" s="9349"/>
      <c r="O169" s="8100"/>
      <c r="P169" s="8100"/>
      <c r="Q169" s="7330"/>
      <c r="R169" s="7330"/>
      <c r="S169" s="7330"/>
      <c r="T169" s="7330"/>
      <c r="U169" s="7330"/>
      <c r="V169" s="7330"/>
      <c r="W169" s="7330"/>
      <c r="X169" s="7330"/>
      <c r="Y169" s="7330"/>
      <c r="Z169" s="7330"/>
      <c r="AA169" s="7330"/>
      <c r="AB169" s="7330"/>
      <c r="AC169" s="7330"/>
      <c r="AD169" s="7330"/>
      <c r="AE169" s="7330"/>
      <c r="AF169" s="7330"/>
      <c r="AG169" s="7330"/>
      <c r="AH169" s="7330">
        <v>0</v>
      </c>
    </row>
    <row s="62286" customFormat="1" customHeight="1" ht="18.75">
      <c r="A170" s="2472"/>
      <c r="B170" s="2472"/>
      <c r="C170" s="1061" t="s">
        <v>1219</v>
      </c>
      <c r="D170" s="3154"/>
      <c r="E170" s="2896"/>
      <c r="F170" s="3075"/>
      <c r="G170" s="3119"/>
      <c r="H170" s="2192"/>
      <c r="I170" s="1343" t="s">
        <v>1218</v>
      </c>
      <c r="J170" s="1263"/>
      <c r="K170" s="2192"/>
      <c r="L170" s="906"/>
      <c r="M170" s="1033"/>
      <c r="N170" s="1026"/>
      <c r="O170" s="2316"/>
      <c r="P170" s="2316"/>
      <c r="AH170" s="2323">
        <v>0</v>
      </c>
    </row>
    <row s="62286" customFormat="1" customHeight="1" ht="18.75">
      <c r="A171" s="4421" t="s">
        <v>223</v>
      </c>
      <c r="B171" s="4421" t="s">
        <v>229</v>
      </c>
      <c r="C171" s="5479"/>
      <c r="D171" s="5480"/>
      <c r="E171" s="5481"/>
      <c r="F171" s="5481"/>
      <c r="G171" s="5482" t="str">
        <f>INDEX(PT_DIFFERENTIATION_NTAR,MATCH(B171,PT_DIFFERENTIATION_NTAR_ID,0))</f>
        <v>Тарифы на теплоноситель, поставляемый потребителям Владивостокского городского округа</v>
      </c>
      <c r="H171" s="5483"/>
      <c r="I171" s="9324">
        <v>45292</v>
      </c>
      <c r="J171" s="5485">
        <v>45657</v>
      </c>
      <c r="K171" s="5502">
        <v>456734.24</v>
      </c>
      <c r="L171" s="5483" t="s">
        <v>381</v>
      </c>
      <c r="M171" s="5487"/>
      <c r="N171" s="5488"/>
      <c r="O171" s="4431"/>
      <c r="P171" s="4431"/>
      <c r="Q171" s="4432"/>
      <c r="R171" s="4432"/>
      <c r="S171" s="4432"/>
      <c r="T171" s="4432"/>
      <c r="U171" s="4432"/>
      <c r="V171" s="4432"/>
      <c r="W171" s="4432"/>
      <c r="X171" s="4432"/>
      <c r="Y171" s="4432"/>
      <c r="Z171" s="4432"/>
      <c r="AA171" s="4432"/>
      <c r="AB171" s="4432"/>
      <c r="AC171" s="4432"/>
      <c r="AD171" s="4432"/>
      <c r="AE171" s="4432"/>
      <c r="AF171" s="4432"/>
      <c r="AG171" s="4432"/>
      <c r="AH171" s="4432">
        <v>0</v>
      </c>
    </row>
    <row s="62286" customFormat="1" customHeight="1" ht="14.25">
      <c r="A172" s="8094"/>
      <c r="B172" s="8094"/>
      <c r="C172" s="9344"/>
      <c r="D172" s="9345"/>
      <c r="E172" s="9346"/>
      <c r="F172" s="9346"/>
      <c r="G172" s="9346"/>
      <c r="H172" s="7448" t="s">
        <v>104</v>
      </c>
      <c r="I172" s="9324">
        <v>45658</v>
      </c>
      <c r="J172" s="9325">
        <v>46022</v>
      </c>
      <c r="K172" s="9364">
        <v>400924.27</v>
      </c>
      <c r="L172" s="7450" t="s">
        <v>381</v>
      </c>
      <c r="M172" s="7985"/>
      <c r="N172" s="9349"/>
      <c r="O172" s="8100"/>
      <c r="P172" s="8100"/>
      <c r="Q172" s="7330"/>
      <c r="R172" s="7330"/>
      <c r="S172" s="7330"/>
      <c r="T172" s="7330"/>
      <c r="U172" s="7330"/>
      <c r="V172" s="7330"/>
      <c r="W172" s="7330"/>
      <c r="X172" s="7330"/>
      <c r="Y172" s="7330"/>
      <c r="Z172" s="7330"/>
      <c r="AA172" s="7330"/>
      <c r="AB172" s="7330"/>
      <c r="AC172" s="7330"/>
      <c r="AD172" s="7330"/>
      <c r="AE172" s="7330"/>
      <c r="AF172" s="7330"/>
      <c r="AG172" s="7330"/>
      <c r="AH172" s="7330">
        <v>0</v>
      </c>
    </row>
    <row s="62286" customFormat="1" customHeight="1" ht="14.25">
      <c r="A173" s="8094"/>
      <c r="B173" s="8094"/>
      <c r="C173" s="9344"/>
      <c r="D173" s="9345"/>
      <c r="E173" s="9346"/>
      <c r="F173" s="9346"/>
      <c r="G173" s="9346"/>
      <c r="H173" s="7448" t="s">
        <v>104</v>
      </c>
      <c r="I173" s="9324">
        <v>46023</v>
      </c>
      <c r="J173" s="9325">
        <v>46387</v>
      </c>
      <c r="K173" s="9364">
        <v>439904.06</v>
      </c>
      <c r="L173" s="7450" t="s">
        <v>381</v>
      </c>
      <c r="M173" s="7985"/>
      <c r="N173" s="9349"/>
      <c r="O173" s="8100"/>
      <c r="P173" s="8100"/>
      <c r="Q173" s="7330"/>
      <c r="R173" s="7330"/>
      <c r="S173" s="7330"/>
      <c r="T173" s="7330"/>
      <c r="U173" s="7330"/>
      <c r="V173" s="7330"/>
      <c r="W173" s="7330"/>
      <c r="X173" s="7330"/>
      <c r="Y173" s="7330"/>
      <c r="Z173" s="7330"/>
      <c r="AA173" s="7330"/>
      <c r="AB173" s="7330"/>
      <c r="AC173" s="7330"/>
      <c r="AD173" s="7330"/>
      <c r="AE173" s="7330"/>
      <c r="AF173" s="7330"/>
      <c r="AG173" s="7330"/>
      <c r="AH173" s="7330">
        <v>0</v>
      </c>
    </row>
    <row s="62286" customFormat="1" customHeight="1" ht="14.25">
      <c r="A174" s="8094"/>
      <c r="B174" s="8094"/>
      <c r="C174" s="9344"/>
      <c r="D174" s="9345"/>
      <c r="E174" s="9346"/>
      <c r="F174" s="9346"/>
      <c r="G174" s="9346"/>
      <c r="H174" s="7448" t="s">
        <v>104</v>
      </c>
      <c r="I174" s="9324">
        <v>46388</v>
      </c>
      <c r="J174" s="9325">
        <v>46752</v>
      </c>
      <c r="K174" s="9364">
        <v>432943.26</v>
      </c>
      <c r="L174" s="7450" t="s">
        <v>381</v>
      </c>
      <c r="M174" s="7985"/>
      <c r="N174" s="9349"/>
      <c r="O174" s="8100"/>
      <c r="P174" s="8100"/>
      <c r="Q174" s="7330"/>
      <c r="R174" s="7330"/>
      <c r="S174" s="7330"/>
      <c r="T174" s="7330"/>
      <c r="U174" s="7330"/>
      <c r="V174" s="7330"/>
      <c r="W174" s="7330"/>
      <c r="X174" s="7330"/>
      <c r="Y174" s="7330"/>
      <c r="Z174" s="7330"/>
      <c r="AA174" s="7330"/>
      <c r="AB174" s="7330"/>
      <c r="AC174" s="7330"/>
      <c r="AD174" s="7330"/>
      <c r="AE174" s="7330"/>
      <c r="AF174" s="7330"/>
      <c r="AG174" s="7330"/>
      <c r="AH174" s="7330">
        <v>0</v>
      </c>
    </row>
    <row s="62286" customFormat="1" customHeight="1" ht="14.25">
      <c r="A175" s="8094"/>
      <c r="B175" s="8094"/>
      <c r="C175" s="9344"/>
      <c r="D175" s="9345"/>
      <c r="E175" s="9346"/>
      <c r="F175" s="9346"/>
      <c r="G175" s="9346"/>
      <c r="H175" s="7448" t="s">
        <v>104</v>
      </c>
      <c r="I175" s="9324">
        <v>46753</v>
      </c>
      <c r="J175" s="9325">
        <v>47118</v>
      </c>
      <c r="K175" s="9364">
        <v>444767.17</v>
      </c>
      <c r="L175" s="7450" t="s">
        <v>381</v>
      </c>
      <c r="M175" s="7985"/>
      <c r="N175" s="9349"/>
      <c r="O175" s="8100"/>
      <c r="P175" s="8100"/>
      <c r="Q175" s="7330"/>
      <c r="R175" s="7330"/>
      <c r="S175" s="7330"/>
      <c r="T175" s="7330"/>
      <c r="U175" s="7330"/>
      <c r="V175" s="7330"/>
      <c r="W175" s="7330"/>
      <c r="X175" s="7330"/>
      <c r="Y175" s="7330"/>
      <c r="Z175" s="7330"/>
      <c r="AA175" s="7330"/>
      <c r="AB175" s="7330"/>
      <c r="AC175" s="7330"/>
      <c r="AD175" s="7330"/>
      <c r="AE175" s="7330"/>
      <c r="AF175" s="7330"/>
      <c r="AG175" s="7330"/>
      <c r="AH175" s="7330">
        <v>0</v>
      </c>
    </row>
    <row s="62286" customFormat="1" customHeight="1" ht="18.75">
      <c r="A176" s="4421"/>
      <c r="B176" s="4421"/>
      <c r="C176" s="5479" t="s">
        <v>1219</v>
      </c>
      <c r="D176" s="5480"/>
      <c r="E176" s="5481"/>
      <c r="F176" s="5481"/>
      <c r="G176" s="5482"/>
      <c r="H176" s="5503"/>
      <c r="I176" s="5504" t="s">
        <v>1218</v>
      </c>
      <c r="J176" s="5505"/>
      <c r="K176" s="5506"/>
      <c r="L176" s="5507"/>
      <c r="M176" s="5487"/>
      <c r="N176" s="5488"/>
      <c r="O176" s="4431"/>
      <c r="P176" s="4431"/>
      <c r="Q176" s="4432"/>
      <c r="R176" s="4432"/>
      <c r="S176" s="4432"/>
      <c r="T176" s="4432"/>
      <c r="U176" s="4432"/>
      <c r="V176" s="4432"/>
      <c r="W176" s="4432"/>
      <c r="X176" s="4432"/>
      <c r="Y176" s="4432"/>
      <c r="Z176" s="4432"/>
      <c r="AA176" s="4432"/>
      <c r="AB176" s="4432"/>
      <c r="AC176" s="4432"/>
      <c r="AD176" s="4432"/>
      <c r="AE176" s="4432"/>
      <c r="AF176" s="4432"/>
      <c r="AG176" s="4432"/>
      <c r="AH176" s="4432">
        <v>0</v>
      </c>
    </row>
    <row s="62286" customFormat="1" customHeight="1" ht="18.75">
      <c r="A177" s="4421" t="s">
        <v>223</v>
      </c>
      <c r="B177" s="4421" t="s">
        <v>234</v>
      </c>
      <c r="C177" s="5479"/>
      <c r="D177" s="5480"/>
      <c r="E177" s="5481"/>
      <c r="F177" s="5481"/>
      <c r="G177" s="5482" t="str">
        <f>INDEX(PT_DIFFERENTIATION_NTAR,MATCH(B177,PT_DIFFERENTIATION_NTAR_ID,0))</f>
        <v>Тарифы на теплоноситель, поставляемый потребителям Партизанского городского округа</v>
      </c>
      <c r="H177" s="5483"/>
      <c r="I177" s="9324">
        <v>45292</v>
      </c>
      <c r="J177" s="5485">
        <v>45657</v>
      </c>
      <c r="K177" s="5502">
        <v>1303.59</v>
      </c>
      <c r="L177" s="5483" t="s">
        <v>381</v>
      </c>
      <c r="M177" s="5487"/>
      <c r="N177" s="5488"/>
      <c r="O177" s="4431"/>
      <c r="P177" s="4431"/>
      <c r="Q177" s="4432"/>
      <c r="R177" s="4432"/>
      <c r="S177" s="4432"/>
      <c r="T177" s="4432"/>
      <c r="U177" s="4432"/>
      <c r="V177" s="4432"/>
      <c r="W177" s="4432"/>
      <c r="X177" s="4432"/>
      <c r="Y177" s="4432"/>
      <c r="Z177" s="4432"/>
      <c r="AA177" s="4432"/>
      <c r="AB177" s="4432"/>
      <c r="AC177" s="4432"/>
      <c r="AD177" s="4432"/>
      <c r="AE177" s="4432"/>
      <c r="AF177" s="4432"/>
      <c r="AG177" s="4432"/>
      <c r="AH177" s="4432">
        <v>0</v>
      </c>
    </row>
    <row s="62286" customFormat="1" customHeight="1" ht="14.25">
      <c r="A178" s="8094"/>
      <c r="B178" s="8094"/>
      <c r="C178" s="9344"/>
      <c r="D178" s="9345"/>
      <c r="E178" s="9346"/>
      <c r="F178" s="9346"/>
      <c r="G178" s="9346"/>
      <c r="H178" s="7448" t="s">
        <v>104</v>
      </c>
      <c r="I178" s="9324">
        <v>45658</v>
      </c>
      <c r="J178" s="9325">
        <v>46022</v>
      </c>
      <c r="K178" s="9364">
        <v>770.4</v>
      </c>
      <c r="L178" s="7450" t="s">
        <v>381</v>
      </c>
      <c r="M178" s="7985"/>
      <c r="N178" s="9349"/>
      <c r="O178" s="8100"/>
      <c r="P178" s="8100"/>
      <c r="Q178" s="7330"/>
      <c r="R178" s="7330"/>
      <c r="S178" s="7330"/>
      <c r="T178" s="7330"/>
      <c r="U178" s="7330"/>
      <c r="V178" s="7330"/>
      <c r="W178" s="7330"/>
      <c r="X178" s="7330"/>
      <c r="Y178" s="7330"/>
      <c r="Z178" s="7330"/>
      <c r="AA178" s="7330"/>
      <c r="AB178" s="7330"/>
      <c r="AC178" s="7330"/>
      <c r="AD178" s="7330"/>
      <c r="AE178" s="7330"/>
      <c r="AF178" s="7330"/>
      <c r="AG178" s="7330"/>
      <c r="AH178" s="7330">
        <v>0</v>
      </c>
    </row>
    <row s="62286" customFormat="1" customHeight="1" ht="14.25">
      <c r="A179" s="8094"/>
      <c r="B179" s="8094"/>
      <c r="C179" s="9344"/>
      <c r="D179" s="9345"/>
      <c r="E179" s="9346"/>
      <c r="F179" s="9346"/>
      <c r="G179" s="9346"/>
      <c r="H179" s="7448" t="s">
        <v>104</v>
      </c>
      <c r="I179" s="9324">
        <v>46023</v>
      </c>
      <c r="J179" s="9325">
        <v>46387</v>
      </c>
      <c r="K179" s="9364">
        <v>1166.79</v>
      </c>
      <c r="L179" s="7450" t="s">
        <v>381</v>
      </c>
      <c r="M179" s="7985"/>
      <c r="N179" s="9349"/>
      <c r="O179" s="8100"/>
      <c r="P179" s="8100"/>
      <c r="Q179" s="7330"/>
      <c r="R179" s="7330"/>
      <c r="S179" s="7330"/>
      <c r="T179" s="7330"/>
      <c r="U179" s="7330"/>
      <c r="V179" s="7330"/>
      <c r="W179" s="7330"/>
      <c r="X179" s="7330"/>
      <c r="Y179" s="7330"/>
      <c r="Z179" s="7330"/>
      <c r="AA179" s="7330"/>
      <c r="AB179" s="7330"/>
      <c r="AC179" s="7330"/>
      <c r="AD179" s="7330"/>
      <c r="AE179" s="7330"/>
      <c r="AF179" s="7330"/>
      <c r="AG179" s="7330"/>
      <c r="AH179" s="7330">
        <v>0</v>
      </c>
    </row>
    <row s="62286" customFormat="1" customHeight="1" ht="14.25">
      <c r="A180" s="8094"/>
      <c r="B180" s="8094"/>
      <c r="C180" s="9344"/>
      <c r="D180" s="9345"/>
      <c r="E180" s="9346"/>
      <c r="F180" s="9346"/>
      <c r="G180" s="9346"/>
      <c r="H180" s="7448" t="s">
        <v>104</v>
      </c>
      <c r="I180" s="9324">
        <v>46388</v>
      </c>
      <c r="J180" s="9325">
        <v>46752</v>
      </c>
      <c r="K180" s="9364">
        <v>1102.72</v>
      </c>
      <c r="L180" s="7450" t="s">
        <v>381</v>
      </c>
      <c r="M180" s="7985"/>
      <c r="N180" s="9349"/>
      <c r="O180" s="8100"/>
      <c r="P180" s="8100"/>
      <c r="Q180" s="7330"/>
      <c r="R180" s="7330"/>
      <c r="S180" s="7330"/>
      <c r="T180" s="7330"/>
      <c r="U180" s="7330"/>
      <c r="V180" s="7330"/>
      <c r="W180" s="7330"/>
      <c r="X180" s="7330"/>
      <c r="Y180" s="7330"/>
      <c r="Z180" s="7330"/>
      <c r="AA180" s="7330"/>
      <c r="AB180" s="7330"/>
      <c r="AC180" s="7330"/>
      <c r="AD180" s="7330"/>
      <c r="AE180" s="7330"/>
      <c r="AF180" s="7330"/>
      <c r="AG180" s="7330"/>
      <c r="AH180" s="7330">
        <v>0</v>
      </c>
    </row>
    <row s="62286" customFormat="1" customHeight="1" ht="14.25">
      <c r="A181" s="8094"/>
      <c r="B181" s="8094"/>
      <c r="C181" s="9344"/>
      <c r="D181" s="9345"/>
      <c r="E181" s="9346"/>
      <c r="F181" s="9346"/>
      <c r="G181" s="9346"/>
      <c r="H181" s="7448" t="s">
        <v>104</v>
      </c>
      <c r="I181" s="9324">
        <v>46753</v>
      </c>
      <c r="J181" s="9325">
        <v>47118</v>
      </c>
      <c r="K181" s="9364">
        <v>1134.23</v>
      </c>
      <c r="L181" s="7450" t="s">
        <v>381</v>
      </c>
      <c r="M181" s="7985"/>
      <c r="N181" s="9349"/>
      <c r="O181" s="8100"/>
      <c r="P181" s="8100"/>
      <c r="Q181" s="7330"/>
      <c r="R181" s="7330"/>
      <c r="S181" s="7330"/>
      <c r="T181" s="7330"/>
      <c r="U181" s="7330"/>
      <c r="V181" s="7330"/>
      <c r="W181" s="7330"/>
      <c r="X181" s="7330"/>
      <c r="Y181" s="7330"/>
      <c r="Z181" s="7330"/>
      <c r="AA181" s="7330"/>
      <c r="AB181" s="7330"/>
      <c r="AC181" s="7330"/>
      <c r="AD181" s="7330"/>
      <c r="AE181" s="7330"/>
      <c r="AF181" s="7330"/>
      <c r="AG181" s="7330"/>
      <c r="AH181" s="7330">
        <v>0</v>
      </c>
    </row>
    <row s="62286" customFormat="1" customHeight="1" ht="20.25">
      <c r="A182" s="4421"/>
      <c r="B182" s="4421"/>
      <c r="C182" s="5479" t="s">
        <v>1219</v>
      </c>
      <c r="D182" s="5480"/>
      <c r="E182" s="5481"/>
      <c r="F182" s="5481"/>
      <c r="G182" s="5482"/>
      <c r="H182" s="5508"/>
      <c r="I182" s="5509" t="s">
        <v>1218</v>
      </c>
      <c r="J182" s="5510"/>
      <c r="K182" s="5511"/>
      <c r="L182" s="5512"/>
      <c r="M182" s="5487"/>
      <c r="N182" s="5488"/>
      <c r="O182" s="4431"/>
      <c r="P182" s="4431"/>
      <c r="Q182" s="4432"/>
      <c r="R182" s="4432"/>
      <c r="S182" s="4432"/>
      <c r="T182" s="4432"/>
      <c r="U182" s="4432"/>
      <c r="V182" s="4432"/>
      <c r="W182" s="4432"/>
      <c r="X182" s="4432"/>
      <c r="Y182" s="4432"/>
      <c r="Z182" s="4432"/>
      <c r="AA182" s="4432"/>
      <c r="AB182" s="4432"/>
      <c r="AC182" s="4432"/>
      <c r="AD182" s="4432"/>
      <c r="AE182" s="4432"/>
      <c r="AF182" s="4432"/>
      <c r="AG182" s="4432"/>
      <c r="AH182" s="4432">
        <v>0</v>
      </c>
    </row>
    <row s="62286" customFormat="1" customHeight="1" ht="20.25">
      <c r="A183" s="2472"/>
      <c r="B183" s="2472"/>
      <c r="C183" s="1061" t="s">
        <v>1228</v>
      </c>
      <c r="D183" s="3154"/>
      <c r="E183" s="2896"/>
      <c r="F183" s="3075"/>
      <c r="G183" s="1092"/>
      <c r="H183" s="2192"/>
      <c r="I183" s="1343"/>
      <c r="J183" s="1263"/>
      <c r="K183" s="2192"/>
      <c r="L183" s="906"/>
      <c r="M183" s="1033"/>
      <c r="N183" s="1026"/>
      <c r="O183" s="2316"/>
      <c r="P183" s="2316"/>
      <c r="AH183" s="2323">
        <v>0</v>
      </c>
    </row>
    <row s="62286" customFormat="1" customHeight="1" ht="20.25">
      <c r="A184" s="2472" t="s">
        <v>240</v>
      </c>
      <c r="B184" s="2472" t="s">
        <v>241</v>
      </c>
      <c r="C184" s="1061"/>
      <c r="D184" s="3154"/>
      <c r="E184" s="2896"/>
      <c r="F184" s="3075" t="str">
        <f>INDEX(PT_DIFFERENTIATION_VTAR,MATCH(A184,PT_DIFFERENTIATION_VTAR_ID,0))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84" s="3119" t="str">
        <f>INDEX(PT_DIFFERENTIATION_NTAR,MATCH(B184,PT_DIFFERENTIATION_NTAR_ID,0))</f>
        <v>Тарифы на горячую воду в открытых системах теплоснабжения (горячего водоснабжения) на территории Артемовского городского округа</v>
      </c>
      <c r="H184" s="2554"/>
      <c r="I184" s="9324">
        <v>45292</v>
      </c>
      <c r="J184" s="2465">
        <v>45657</v>
      </c>
      <c r="K184" s="2470">
        <f>(0.058476*'ТС. Т-гор.вода'!AI55+'ТС. Т-гор.вода'!AH55)*123.68</f>
        <v>43890.0080613056</v>
      </c>
      <c r="L184" s="2554" t="s">
        <v>381</v>
      </c>
      <c r="M184" s="1033"/>
      <c r="N184" s="1026"/>
      <c r="O184" s="2316"/>
      <c r="P184" s="2316"/>
      <c r="AH184" s="2323">
        <v>0</v>
      </c>
    </row>
    <row s="62286" customFormat="1" customHeight="1" ht="14.25">
      <c r="A185" s="8094"/>
      <c r="B185" s="8094"/>
      <c r="C185" s="9344"/>
      <c r="D185" s="9345"/>
      <c r="E185" s="9346"/>
      <c r="F185" s="9346"/>
      <c r="G185" s="9346"/>
      <c r="H185" s="7448" t="s">
        <v>104</v>
      </c>
      <c r="I185" s="9324">
        <v>45658</v>
      </c>
      <c r="J185" s="9325">
        <v>46022</v>
      </c>
      <c r="K185" s="9364">
        <f>('ТС. Т-гор.вода'!AQ55+'ТС. Т-гор.вода'!AR55*0.063921)*K309</f>
        <v>51964.320728971</v>
      </c>
      <c r="L185" s="7450" t="s">
        <v>381</v>
      </c>
      <c r="M185" s="7985"/>
      <c r="N185" s="9349"/>
      <c r="O185" s="8100"/>
      <c r="P185" s="8100"/>
      <c r="Q185" s="7330"/>
      <c r="R185" s="7330"/>
      <c r="S185" s="7330"/>
      <c r="T185" s="7330"/>
      <c r="U185" s="7330"/>
      <c r="V185" s="7330"/>
      <c r="W185" s="7330"/>
      <c r="X185" s="7330"/>
      <c r="Y185" s="7330"/>
      <c r="Z185" s="7330"/>
      <c r="AA185" s="7330"/>
      <c r="AB185" s="7330"/>
      <c r="AC185" s="7330"/>
      <c r="AD185" s="7330"/>
      <c r="AE185" s="7330"/>
      <c r="AF185" s="7330"/>
      <c r="AG185" s="7330"/>
      <c r="AH185" s="7330">
        <v>0</v>
      </c>
    </row>
    <row s="62286" customFormat="1" customHeight="1" ht="14.25">
      <c r="A186" s="8094"/>
      <c r="B186" s="8094"/>
      <c r="C186" s="9344"/>
      <c r="D186" s="9345"/>
      <c r="E186" s="9346"/>
      <c r="F186" s="9346"/>
      <c r="G186" s="9346"/>
      <c r="H186" s="7448" t="s">
        <v>104</v>
      </c>
      <c r="I186" s="9324">
        <v>46023</v>
      </c>
      <c r="J186" s="9325">
        <v>46387</v>
      </c>
      <c r="K186" s="9364">
        <f>('ТС. Т-гор.вода'!AZ55+'ТС. Т-гор.вода'!BA55*0.063921)*K310</f>
        <v>49487.8007090124</v>
      </c>
      <c r="L186" s="7450" t="s">
        <v>381</v>
      </c>
      <c r="M186" s="7985"/>
      <c r="N186" s="9349"/>
      <c r="O186" s="8100"/>
      <c r="P186" s="8100"/>
      <c r="Q186" s="7330"/>
      <c r="R186" s="7330"/>
      <c r="S186" s="7330"/>
      <c r="T186" s="7330"/>
      <c r="U186" s="7330"/>
      <c r="V186" s="7330"/>
      <c r="W186" s="7330"/>
      <c r="X186" s="7330"/>
      <c r="Y186" s="7330"/>
      <c r="Z186" s="7330"/>
      <c r="AA186" s="7330"/>
      <c r="AB186" s="7330"/>
      <c r="AC186" s="7330"/>
      <c r="AD186" s="7330"/>
      <c r="AE186" s="7330"/>
      <c r="AF186" s="7330"/>
      <c r="AG186" s="7330"/>
      <c r="AH186" s="7330">
        <v>0</v>
      </c>
    </row>
    <row s="62286" customFormat="1" customHeight="1" ht="14.25">
      <c r="A187" s="8094"/>
      <c r="B187" s="8094"/>
      <c r="C187" s="9344"/>
      <c r="D187" s="9345"/>
      <c r="E187" s="9346"/>
      <c r="F187" s="9346"/>
      <c r="G187" s="9346"/>
      <c r="H187" s="7448" t="s">
        <v>104</v>
      </c>
      <c r="I187" s="9324">
        <v>46388</v>
      </c>
      <c r="J187" s="9325">
        <v>46752</v>
      </c>
      <c r="K187" s="9364">
        <f>('ТС. Т-гор.вода'!BI55+'ТС. Т-гор.вода'!BJ55*0.058476)*K330</f>
        <v>41642.2110776064</v>
      </c>
      <c r="L187" s="7450" t="s">
        <v>381</v>
      </c>
      <c r="M187" s="7985"/>
      <c r="N187" s="9349"/>
      <c r="O187" s="8100"/>
      <c r="P187" s="8100"/>
      <c r="Q187" s="7330"/>
      <c r="R187" s="7330"/>
      <c r="S187" s="7330"/>
      <c r="T187" s="7330"/>
      <c r="U187" s="7330"/>
      <c r="V187" s="7330"/>
      <c r="W187" s="7330"/>
      <c r="X187" s="7330"/>
      <c r="Y187" s="7330"/>
      <c r="Z187" s="7330"/>
      <c r="AA187" s="7330"/>
      <c r="AB187" s="7330"/>
      <c r="AC187" s="7330"/>
      <c r="AD187" s="7330"/>
      <c r="AE187" s="7330"/>
      <c r="AF187" s="7330"/>
      <c r="AG187" s="7330"/>
      <c r="AH187" s="7330">
        <v>0</v>
      </c>
    </row>
    <row s="62286" customFormat="1" customHeight="1" ht="14.25">
      <c r="A188" s="8094"/>
      <c r="B188" s="8094"/>
      <c r="C188" s="9344"/>
      <c r="D188" s="9345"/>
      <c r="E188" s="9346"/>
      <c r="F188" s="9346"/>
      <c r="G188" s="9346"/>
      <c r="H188" s="7448" t="s">
        <v>104</v>
      </c>
      <c r="I188" s="9324">
        <v>46753</v>
      </c>
      <c r="J188" s="9325">
        <v>47118</v>
      </c>
      <c r="K188" s="9364">
        <f>('ТС. Т-гор.вода'!BR55+'ТС. Т-гор.вода'!BS55*0.058476)*K331</f>
        <v>42647.2350297024</v>
      </c>
      <c r="L188" s="7450" t="s">
        <v>381</v>
      </c>
      <c r="M188" s="7985"/>
      <c r="N188" s="9349"/>
      <c r="O188" s="8100"/>
      <c r="P188" s="8100"/>
      <c r="Q188" s="7330"/>
      <c r="R188" s="7330"/>
      <c r="S188" s="7330"/>
      <c r="T188" s="7330"/>
      <c r="U188" s="7330"/>
      <c r="V188" s="7330"/>
      <c r="W188" s="7330"/>
      <c r="X188" s="7330"/>
      <c r="Y188" s="7330"/>
      <c r="Z188" s="7330"/>
      <c r="AA188" s="7330"/>
      <c r="AB188" s="7330"/>
      <c r="AC188" s="7330"/>
      <c r="AD188" s="7330"/>
      <c r="AE188" s="7330"/>
      <c r="AF188" s="7330"/>
      <c r="AG188" s="7330"/>
      <c r="AH188" s="7330">
        <v>0</v>
      </c>
    </row>
    <row s="62286" customFormat="1" customHeight="1" ht="18.75">
      <c r="A189" s="2472"/>
      <c r="B189" s="2472"/>
      <c r="C189" s="1061" t="s">
        <v>1219</v>
      </c>
      <c r="D189" s="3154"/>
      <c r="E189" s="2896"/>
      <c r="F189" s="3075"/>
      <c r="G189" s="3119"/>
      <c r="H189" s="2192"/>
      <c r="I189" s="1343" t="s">
        <v>1218</v>
      </c>
      <c r="J189" s="1263"/>
      <c r="K189" s="2192"/>
      <c r="L189" s="906"/>
      <c r="M189" s="1033"/>
      <c r="N189" s="1026"/>
      <c r="O189" s="2316"/>
      <c r="P189" s="2316"/>
      <c r="AH189" s="2323">
        <v>0</v>
      </c>
    </row>
    <row s="62286" customFormat="1" customHeight="1" ht="14.25">
      <c r="A190" s="8094" t="s">
        <v>240</v>
      </c>
      <c r="B190" s="8094" t="s">
        <v>246</v>
      </c>
      <c r="C190" s="9344"/>
      <c r="D190" s="9345"/>
      <c r="E190" s="9346"/>
      <c r="F190" s="9346"/>
      <c r="G190" s="9347" t="str">
        <f>INDEX(PT_DIFFERENTIATION_NTAR,MATCH(B190,PT_DIFFERENTIATION_NTAR_ID,0))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190" s="7450"/>
      <c r="I190" s="9324">
        <v>45292</v>
      </c>
      <c r="J190" s="9325">
        <v>45657</v>
      </c>
      <c r="K190" s="9364">
        <f>('ТС. Т-гор.вода'!AH71+'ТС. Т-гор.вода'!AI71*0.058476)*K333</f>
        <v>2329014.38260835</v>
      </c>
      <c r="L190" s="7450" t="s">
        <v>381</v>
      </c>
      <c r="M190" s="7985"/>
      <c r="N190" s="9349"/>
      <c r="O190" s="8100"/>
      <c r="P190" s="8100"/>
      <c r="Q190" s="7330"/>
      <c r="R190" s="7330"/>
      <c r="S190" s="7330"/>
      <c r="T190" s="7330"/>
      <c r="U190" s="7330"/>
      <c r="V190" s="7330"/>
      <c r="W190" s="7330"/>
      <c r="X190" s="7330"/>
      <c r="Y190" s="7330"/>
      <c r="Z190" s="7330"/>
      <c r="AA190" s="7330"/>
      <c r="AB190" s="7330"/>
      <c r="AC190" s="7330"/>
      <c r="AD190" s="7330"/>
      <c r="AE190" s="7330"/>
      <c r="AF190" s="7330"/>
      <c r="AG190" s="7330"/>
      <c r="AH190" s="7330">
        <v>0</v>
      </c>
    </row>
    <row s="62286" customFormat="1" customHeight="1" ht="14.25">
      <c r="A191" s="8094"/>
      <c r="B191" s="8094"/>
      <c r="C191" s="9344"/>
      <c r="D191" s="9345"/>
      <c r="E191" s="9346"/>
      <c r="F191" s="9346"/>
      <c r="G191" s="9346"/>
      <c r="H191" s="7448" t="s">
        <v>104</v>
      </c>
      <c r="I191" s="9324">
        <v>45658</v>
      </c>
      <c r="J191" s="9325">
        <v>46022</v>
      </c>
      <c r="K191" s="9364">
        <f>('ТС. Т-гор.вода'!AQ71+'ТС. Т-гор.вода'!AR71*0.064493)*K334</f>
        <v>2842313.73235885</v>
      </c>
      <c r="L191" s="7450" t="s">
        <v>381</v>
      </c>
      <c r="M191" s="7985"/>
      <c r="N191" s="9349"/>
      <c r="O191" s="8100"/>
      <c r="P191" s="8100"/>
      <c r="Q191" s="7330"/>
      <c r="R191" s="7330"/>
      <c r="S191" s="7330"/>
      <c r="T191" s="7330"/>
      <c r="U191" s="7330"/>
      <c r="V191" s="7330"/>
      <c r="W191" s="7330"/>
      <c r="X191" s="7330"/>
      <c r="Y191" s="7330"/>
      <c r="Z191" s="7330"/>
      <c r="AA191" s="7330"/>
      <c r="AB191" s="7330"/>
      <c r="AC191" s="7330"/>
      <c r="AD191" s="7330"/>
      <c r="AE191" s="7330"/>
      <c r="AF191" s="7330"/>
      <c r="AG191" s="7330"/>
      <c r="AH191" s="7330">
        <v>0</v>
      </c>
    </row>
    <row s="62286" customFormat="1" customHeight="1" ht="14.25">
      <c r="A192" s="8094"/>
      <c r="B192" s="8094"/>
      <c r="C192" s="9344"/>
      <c r="D192" s="9345"/>
      <c r="E192" s="9346"/>
      <c r="F192" s="9346"/>
      <c r="G192" s="9346"/>
      <c r="H192" s="7448" t="s">
        <v>104</v>
      </c>
      <c r="I192" s="9324">
        <v>46023</v>
      </c>
      <c r="J192" s="9325">
        <v>46387</v>
      </c>
      <c r="K192" s="9364">
        <f>('ТС. Т-гор.вода'!AZ71+'ТС. Т-гор.вода'!BA71*0.064493)*K335</f>
        <v>3757767.63776306</v>
      </c>
      <c r="L192" s="7450" t="s">
        <v>381</v>
      </c>
      <c r="M192" s="7985"/>
      <c r="N192" s="9349"/>
      <c r="O192" s="8100"/>
      <c r="P192" s="8100"/>
      <c r="Q192" s="7330"/>
      <c r="R192" s="7330"/>
      <c r="S192" s="7330"/>
      <c r="T192" s="7330"/>
      <c r="U192" s="7330"/>
      <c r="V192" s="7330"/>
      <c r="W192" s="7330"/>
      <c r="X192" s="7330"/>
      <c r="Y192" s="7330"/>
      <c r="Z192" s="7330"/>
      <c r="AA192" s="7330"/>
      <c r="AB192" s="7330"/>
      <c r="AC192" s="7330"/>
      <c r="AD192" s="7330"/>
      <c r="AE192" s="7330"/>
      <c r="AF192" s="7330"/>
      <c r="AG192" s="7330"/>
      <c r="AH192" s="7330">
        <v>0</v>
      </c>
    </row>
    <row s="62286" customFormat="1" customHeight="1" ht="14.25">
      <c r="A193" s="8094"/>
      <c r="B193" s="8094"/>
      <c r="C193" s="9344"/>
      <c r="D193" s="9345"/>
      <c r="E193" s="9346"/>
      <c r="F193" s="9346"/>
      <c r="G193" s="9346"/>
      <c r="H193" s="7448" t="s">
        <v>104</v>
      </c>
      <c r="I193" s="9324">
        <v>46388</v>
      </c>
      <c r="J193" s="9325">
        <v>46752</v>
      </c>
      <c r="K193" s="9364">
        <f>('ТС. Т-гор.вода'!BI71+'ТС. Т-гор.вода'!BJ71*0.058476)*K336</f>
        <v>2118492.51314192</v>
      </c>
      <c r="L193" s="7450" t="s">
        <v>381</v>
      </c>
      <c r="M193" s="7985"/>
      <c r="N193" s="9349"/>
      <c r="O193" s="8100"/>
      <c r="P193" s="8100"/>
      <c r="Q193" s="7330"/>
      <c r="R193" s="7330"/>
      <c r="S193" s="7330"/>
      <c r="T193" s="7330"/>
      <c r="U193" s="7330"/>
      <c r="V193" s="7330"/>
      <c r="W193" s="7330"/>
      <c r="X193" s="7330"/>
      <c r="Y193" s="7330"/>
      <c r="Z193" s="7330"/>
      <c r="AA193" s="7330"/>
      <c r="AB193" s="7330"/>
      <c r="AC193" s="7330"/>
      <c r="AD193" s="7330"/>
      <c r="AE193" s="7330"/>
      <c r="AF193" s="7330"/>
      <c r="AG193" s="7330"/>
      <c r="AH193" s="7330">
        <v>0</v>
      </c>
    </row>
    <row s="62286" customFormat="1" customHeight="1" ht="14.25">
      <c r="A194" s="8094"/>
      <c r="B194" s="8094"/>
      <c r="C194" s="9344"/>
      <c r="D194" s="9345"/>
      <c r="E194" s="9346"/>
      <c r="F194" s="9346"/>
      <c r="G194" s="9346"/>
      <c r="H194" s="7448" t="s">
        <v>104</v>
      </c>
      <c r="I194" s="9324">
        <v>46753</v>
      </c>
      <c r="J194" s="9325">
        <v>47118</v>
      </c>
      <c r="K194" s="9364">
        <f>('ТС. Т-гор.вода'!BR71+'ТС. Т-гор.вода'!BS71*0.058476)*K337</f>
        <v>2180376.60600928</v>
      </c>
      <c r="L194" s="7450" t="s">
        <v>381</v>
      </c>
      <c r="M194" s="7985"/>
      <c r="N194" s="9349"/>
      <c r="O194" s="8100"/>
      <c r="P194" s="8100"/>
      <c r="Q194" s="7330"/>
      <c r="R194" s="7330"/>
      <c r="S194" s="7330"/>
      <c r="T194" s="7330"/>
      <c r="U194" s="7330"/>
      <c r="V194" s="7330"/>
      <c r="W194" s="7330"/>
      <c r="X194" s="7330"/>
      <c r="Y194" s="7330"/>
      <c r="Z194" s="7330"/>
      <c r="AA194" s="7330"/>
      <c r="AB194" s="7330"/>
      <c r="AC194" s="7330"/>
      <c r="AD194" s="7330"/>
      <c r="AE194" s="7330"/>
      <c r="AF194" s="7330"/>
      <c r="AG194" s="7330"/>
      <c r="AH194" s="7330">
        <v>0</v>
      </c>
    </row>
    <row s="62286" customFormat="1" customHeight="1" ht="18.75">
      <c r="A195" s="8094"/>
      <c r="B195" s="8094"/>
      <c r="C195" s="9344" t="s">
        <v>1219</v>
      </c>
      <c r="D195" s="9345"/>
      <c r="E195" s="9346"/>
      <c r="F195" s="9346"/>
      <c r="G195" s="9347"/>
      <c r="H195" s="9377"/>
      <c r="I195" s="9378" t="s">
        <v>1218</v>
      </c>
      <c r="J195" s="9379"/>
      <c r="K195" s="9380"/>
      <c r="L195" s="9381"/>
      <c r="M195" s="7985"/>
      <c r="N195" s="9349"/>
      <c r="O195" s="8100"/>
      <c r="P195" s="8100"/>
      <c r="Q195" s="7330"/>
      <c r="R195" s="7330"/>
      <c r="S195" s="7330"/>
      <c r="T195" s="7330"/>
      <c r="U195" s="7330"/>
      <c r="V195" s="7330"/>
      <c r="W195" s="7330"/>
      <c r="X195" s="7330"/>
      <c r="Y195" s="7330"/>
      <c r="Z195" s="7330"/>
      <c r="AA195" s="7330"/>
      <c r="AB195" s="7330"/>
      <c r="AC195" s="7330"/>
      <c r="AD195" s="7330"/>
      <c r="AE195" s="7330"/>
      <c r="AF195" s="7330"/>
      <c r="AG195" s="7330"/>
      <c r="AH195" s="7330">
        <v>0</v>
      </c>
    </row>
    <row s="62286" customFormat="1" customHeight="1" ht="18.75">
      <c r="A196" s="8094" t="s">
        <v>240</v>
      </c>
      <c r="B196" s="8094" t="s">
        <v>251</v>
      </c>
      <c r="C196" s="9344"/>
      <c r="D196" s="9345"/>
      <c r="E196" s="9346"/>
      <c r="F196" s="9346"/>
      <c r="G196" s="9347" t="str">
        <f>INDEX(PT_DIFFERENTIATION_NTAR,MATCH(B196,PT_DIFFERENTIATION_NTAR_ID,0))</f>
        <v>Тарифы на горячую воду в открытых системах теплоснабжения (горячего водоснабжения) на территории Партизанского городского округа</v>
      </c>
      <c r="H196" s="7450"/>
      <c r="I196" s="9324">
        <v>45292</v>
      </c>
      <c r="J196" s="9325">
        <v>45657</v>
      </c>
      <c r="K196" s="9364">
        <f>('ТС. Т-гор.вода'!AH87+'ТС. Т-гор.вода'!AI87*0.058476)*K320</f>
        <v>15179.987799</v>
      </c>
      <c r="L196" s="7450" t="s">
        <v>381</v>
      </c>
      <c r="M196" s="7985"/>
      <c r="N196" s="9349"/>
      <c r="O196" s="8100"/>
      <c r="P196" s="8100"/>
      <c r="Q196" s="7330"/>
      <c r="R196" s="7330"/>
      <c r="S196" s="7330"/>
      <c r="T196" s="7330"/>
      <c r="U196" s="7330"/>
      <c r="V196" s="7330"/>
      <c r="W196" s="7330"/>
      <c r="X196" s="7330"/>
      <c r="Y196" s="7330"/>
      <c r="Z196" s="7330"/>
      <c r="AA196" s="7330"/>
      <c r="AB196" s="7330"/>
      <c r="AC196" s="7330"/>
      <c r="AD196" s="7330"/>
      <c r="AE196" s="7330"/>
      <c r="AF196" s="7330"/>
      <c r="AG196" s="7330"/>
      <c r="AH196" s="7330">
        <v>0</v>
      </c>
    </row>
    <row s="62286" customFormat="1" customHeight="1" ht="14.25">
      <c r="A197" s="8094"/>
      <c r="B197" s="8094"/>
      <c r="C197" s="9344"/>
      <c r="D197" s="9345"/>
      <c r="E197" s="9346"/>
      <c r="F197" s="9346"/>
      <c r="G197" s="9346"/>
      <c r="H197" s="7448" t="s">
        <v>104</v>
      </c>
      <c r="I197" s="9324">
        <v>45658</v>
      </c>
      <c r="J197" s="9325">
        <v>46022</v>
      </c>
      <c r="K197" s="9364">
        <f>('ТС. Т-гор.вода'!AQ87+'ТС. Т-гор.вода'!AR87*0.062322)*K340</f>
        <v>19423.501193404</v>
      </c>
      <c r="L197" s="7450" t="s">
        <v>381</v>
      </c>
      <c r="M197" s="7985"/>
      <c r="N197" s="9349"/>
      <c r="O197" s="8100"/>
      <c r="P197" s="8100"/>
      <c r="Q197" s="7330"/>
      <c r="R197" s="7330"/>
      <c r="S197" s="7330"/>
      <c r="T197" s="7330"/>
      <c r="U197" s="7330"/>
      <c r="V197" s="7330"/>
      <c r="W197" s="7330"/>
      <c r="X197" s="7330"/>
      <c r="Y197" s="7330"/>
      <c r="Z197" s="7330"/>
      <c r="AA197" s="7330"/>
      <c r="AB197" s="7330"/>
      <c r="AC197" s="7330"/>
      <c r="AD197" s="7330"/>
      <c r="AE197" s="7330"/>
      <c r="AF197" s="7330"/>
      <c r="AG197" s="7330"/>
      <c r="AH197" s="7330">
        <v>0</v>
      </c>
    </row>
    <row s="62286" customFormat="1" customHeight="1" ht="14.25">
      <c r="A198" s="8094"/>
      <c r="B198" s="8094"/>
      <c r="C198" s="9344"/>
      <c r="D198" s="9345"/>
      <c r="E198" s="9346"/>
      <c r="F198" s="9346"/>
      <c r="G198" s="9346"/>
      <c r="H198" s="7448" t="s">
        <v>104</v>
      </c>
      <c r="I198" s="9324">
        <v>46023</v>
      </c>
      <c r="J198" s="9325">
        <v>46387</v>
      </c>
      <c r="K198" s="9364">
        <f>('ТС. Т-гор.вода'!AZ87+'ТС. Т-гор.вода'!BA87*0.062322)*K341</f>
        <v>19916.799830701</v>
      </c>
      <c r="L198" s="7450" t="s">
        <v>381</v>
      </c>
      <c r="M198" s="7985"/>
      <c r="N198" s="9349"/>
      <c r="O198" s="8100"/>
      <c r="P198" s="8100"/>
      <c r="Q198" s="7330"/>
      <c r="R198" s="7330"/>
      <c r="S198" s="7330"/>
      <c r="T198" s="7330"/>
      <c r="U198" s="7330"/>
      <c r="V198" s="7330"/>
      <c r="W198" s="7330"/>
      <c r="X198" s="7330"/>
      <c r="Y198" s="7330"/>
      <c r="Z198" s="7330"/>
      <c r="AA198" s="7330"/>
      <c r="AB198" s="7330"/>
      <c r="AC198" s="7330"/>
      <c r="AD198" s="7330"/>
      <c r="AE198" s="7330"/>
      <c r="AF198" s="7330"/>
      <c r="AG198" s="7330"/>
      <c r="AH198" s="7330">
        <v>0</v>
      </c>
    </row>
    <row s="62286" customFormat="1" customHeight="1" ht="14.25">
      <c r="A199" s="8094"/>
      <c r="B199" s="8094"/>
      <c r="C199" s="9344"/>
      <c r="D199" s="9345"/>
      <c r="E199" s="9346"/>
      <c r="F199" s="9346"/>
      <c r="G199" s="9346"/>
      <c r="H199" s="7448" t="s">
        <v>104</v>
      </c>
      <c r="I199" s="9324">
        <v>46388</v>
      </c>
      <c r="J199" s="9325">
        <v>46752</v>
      </c>
      <c r="K199" s="9364">
        <f>('ТС. Т-гор.вода'!BI87+'ТС. Т-гор.вода'!BJ87*0.058476)*K342</f>
        <v>13164.0474320064</v>
      </c>
      <c r="L199" s="7450" t="s">
        <v>381</v>
      </c>
      <c r="M199" s="7985"/>
      <c r="N199" s="9349"/>
      <c r="O199" s="8100"/>
      <c r="P199" s="8100"/>
      <c r="Q199" s="7330"/>
      <c r="R199" s="7330"/>
      <c r="S199" s="7330"/>
      <c r="T199" s="7330"/>
      <c r="U199" s="7330"/>
      <c r="V199" s="7330"/>
      <c r="W199" s="7330"/>
      <c r="X199" s="7330"/>
      <c r="Y199" s="7330"/>
      <c r="Z199" s="7330"/>
      <c r="AA199" s="7330"/>
      <c r="AB199" s="7330"/>
      <c r="AC199" s="7330"/>
      <c r="AD199" s="7330"/>
      <c r="AE199" s="7330"/>
      <c r="AF199" s="7330"/>
      <c r="AG199" s="7330"/>
      <c r="AH199" s="7330">
        <v>0</v>
      </c>
    </row>
    <row s="62286" customFormat="1" customHeight="1" ht="14.25">
      <c r="A200" s="8094"/>
      <c r="B200" s="8094"/>
      <c r="C200" s="9344"/>
      <c r="D200" s="9345"/>
      <c r="E200" s="9346"/>
      <c r="F200" s="9346"/>
      <c r="G200" s="9346"/>
      <c r="H200" s="7448" t="s">
        <v>104</v>
      </c>
      <c r="I200" s="9324">
        <v>46753</v>
      </c>
      <c r="J200" s="9325">
        <v>47118</v>
      </c>
      <c r="K200" s="9364">
        <f>('ТС. Т-гор.вода'!BR87+'ТС. Т-гор.вода'!BS87*0.058476)*K343</f>
        <v>13561.467946992</v>
      </c>
      <c r="L200" s="7450" t="s">
        <v>381</v>
      </c>
      <c r="M200" s="7985"/>
      <c r="N200" s="9349"/>
      <c r="O200" s="8100"/>
      <c r="P200" s="8100"/>
      <c r="Q200" s="7330"/>
      <c r="R200" s="7330"/>
      <c r="S200" s="7330"/>
      <c r="T200" s="7330"/>
      <c r="U200" s="7330"/>
      <c r="V200" s="7330"/>
      <c r="W200" s="7330"/>
      <c r="X200" s="7330"/>
      <c r="Y200" s="7330"/>
      <c r="Z200" s="7330"/>
      <c r="AA200" s="7330"/>
      <c r="AB200" s="7330"/>
      <c r="AC200" s="7330"/>
      <c r="AD200" s="7330"/>
      <c r="AE200" s="7330"/>
      <c r="AF200" s="7330"/>
      <c r="AG200" s="7330"/>
      <c r="AH200" s="7330">
        <v>0</v>
      </c>
    </row>
    <row s="62286" customFormat="1" customHeight="1" ht="18.75">
      <c r="A201" s="8094"/>
      <c r="B201" s="8094"/>
      <c r="C201" s="9344" t="s">
        <v>1219</v>
      </c>
      <c r="D201" s="9345"/>
      <c r="E201" s="9346"/>
      <c r="F201" s="9346"/>
      <c r="G201" s="9347"/>
      <c r="H201" s="9382"/>
      <c r="I201" s="9383" t="s">
        <v>1218</v>
      </c>
      <c r="J201" s="9384"/>
      <c r="K201" s="9385"/>
      <c r="L201" s="9386"/>
      <c r="M201" s="7985"/>
      <c r="N201" s="9349"/>
      <c r="O201" s="8100"/>
      <c r="P201" s="8100"/>
      <c r="Q201" s="7330"/>
      <c r="R201" s="7330"/>
      <c r="S201" s="7330"/>
      <c r="T201" s="7330"/>
      <c r="U201" s="7330"/>
      <c r="V201" s="7330"/>
      <c r="W201" s="7330"/>
      <c r="X201" s="7330"/>
      <c r="Y201" s="7330"/>
      <c r="Z201" s="7330"/>
      <c r="AA201" s="7330"/>
      <c r="AB201" s="7330"/>
      <c r="AC201" s="7330"/>
      <c r="AD201" s="7330"/>
      <c r="AE201" s="7330"/>
      <c r="AF201" s="7330"/>
      <c r="AG201" s="7330"/>
      <c r="AH201" s="7330">
        <v>0</v>
      </c>
    </row>
    <row s="62286" customFormat="1" customHeight="1" ht="0.75">
      <c r="A202" s="2472"/>
      <c r="B202" s="2472"/>
      <c r="C202" s="1061" t="s">
        <v>1228</v>
      </c>
      <c r="D202" s="3154"/>
      <c r="E202" s="2896"/>
      <c r="F202" s="3075"/>
      <c r="G202" s="1092"/>
      <c r="H202" s="2192"/>
      <c r="I202" s="1343"/>
      <c r="J202" s="1263"/>
      <c r="K202" s="2192"/>
      <c r="L202" s="906"/>
      <c r="M202" s="1033"/>
      <c r="N202" s="1026"/>
      <c r="O202" s="2316"/>
      <c r="P202" s="2316"/>
      <c r="AH202" s="2323">
        <v>0</v>
      </c>
    </row>
    <row s="62286" customFormat="1" customHeight="1" ht="18.75" hidden="1">
      <c r="A203" s="2472" t="s">
        <v>256</v>
      </c>
      <c r="B203" s="2472" t="s">
        <v>257</v>
      </c>
      <c r="C203" s="1061"/>
      <c r="D203" s="3154"/>
      <c r="E203" s="2896"/>
      <c r="F203" s="3075" t="str">
        <f>INDEX(PT_DIFFERENTIATION_VTAR,MATCH(A203,PT_DIFFERENTIATION_VTAR_ID,0))</f>
        <v>Тарифы на услуги по передаче тепловой энергии</v>
      </c>
      <c r="G203" s="3119" t="str">
        <f>INDEX(PT_DIFFERENTIATION_NTAR,MATCH(B203,PT_DIFFERENTIATION_NTAR_ID,0))</f>
        <v/>
      </c>
      <c r="H203" s="2554"/>
      <c r="I203" s="2431"/>
      <c r="J203" s="2465"/>
      <c r="K203" s="2470"/>
      <c r="L203" s="2554" t="s">
        <v>381</v>
      </c>
      <c r="M203" s="1033"/>
      <c r="N203" s="1026"/>
      <c r="O203" s="2316"/>
      <c r="P203" s="2316"/>
      <c r="AH203" s="2323">
        <v>0</v>
      </c>
    </row>
    <row s="62286" customFormat="1" customHeight="1" ht="18.75" hidden="1">
      <c r="A204" s="2472"/>
      <c r="B204" s="2472"/>
      <c r="C204" s="1061" t="s">
        <v>1219</v>
      </c>
      <c r="D204" s="3154"/>
      <c r="E204" s="2896"/>
      <c r="F204" s="3075"/>
      <c r="G204" s="3119"/>
      <c r="H204" s="2192"/>
      <c r="I204" s="1343" t="s">
        <v>1218</v>
      </c>
      <c r="J204" s="1263"/>
      <c r="K204" s="2192"/>
      <c r="L204" s="906"/>
      <c r="M204" s="1033"/>
      <c r="N204" s="1026"/>
      <c r="O204" s="2316"/>
      <c r="P204" s="2316"/>
      <c r="AH204" s="2323">
        <v>0</v>
      </c>
    </row>
    <row s="62286" customFormat="1" customHeight="1" ht="0.75" hidden="1">
      <c r="A205" s="2472"/>
      <c r="B205" s="2472"/>
      <c r="C205" s="1061" t="s">
        <v>1228</v>
      </c>
      <c r="D205" s="3154"/>
      <c r="E205" s="2896"/>
      <c r="F205" s="3075"/>
      <c r="G205" s="1092"/>
      <c r="H205" s="2192"/>
      <c r="I205" s="1343"/>
      <c r="J205" s="1263"/>
      <c r="K205" s="2192"/>
      <c r="L205" s="906"/>
      <c r="M205" s="1033"/>
      <c r="N205" s="1026"/>
      <c r="O205" s="2316"/>
      <c r="P205" s="2316"/>
      <c r="AH205" s="2323">
        <v>0</v>
      </c>
    </row>
    <row s="62286" customFormat="1" customHeight="1" ht="18.75" hidden="1">
      <c r="A206" s="2472" t="s">
        <v>262</v>
      </c>
      <c r="B206" s="2472" t="s">
        <v>263</v>
      </c>
      <c r="C206" s="1061"/>
      <c r="D206" s="3154"/>
      <c r="E206" s="2896"/>
      <c r="F206" s="3075" t="str">
        <f>INDEX(PT_DIFFERENTIATION_VTAR,MATCH(A206,PT_DIFFERENTIATION_VTAR_ID,0))</f>
        <v>Тарифы на услуги по передаче теплоносителя</v>
      </c>
      <c r="G206" s="3119" t="str">
        <f>INDEX(PT_DIFFERENTIATION_NTAR,MATCH(B206,PT_DIFFERENTIATION_NTAR_ID,0))</f>
        <v/>
      </c>
      <c r="H206" s="2554"/>
      <c r="I206" s="2431"/>
      <c r="J206" s="2465"/>
      <c r="K206" s="2470"/>
      <c r="L206" s="2554" t="s">
        <v>381</v>
      </c>
      <c r="M206" s="1033"/>
      <c r="N206" s="1026"/>
      <c r="O206" s="2316"/>
      <c r="P206" s="2316"/>
      <c r="AH206" s="2323">
        <v>0</v>
      </c>
    </row>
    <row s="62286" customFormat="1" customHeight="1" ht="18.75" hidden="1">
      <c r="A207" s="2472"/>
      <c r="B207" s="2472"/>
      <c r="C207" s="1061" t="s">
        <v>1219</v>
      </c>
      <c r="D207" s="3154"/>
      <c r="E207" s="2896"/>
      <c r="F207" s="3075"/>
      <c r="G207" s="3119"/>
      <c r="H207" s="2192"/>
      <c r="I207" s="1343" t="s">
        <v>1218</v>
      </c>
      <c r="J207" s="1263"/>
      <c r="K207" s="2192"/>
      <c r="L207" s="906"/>
      <c r="M207" s="1033"/>
      <c r="N207" s="1026"/>
      <c r="O207" s="2316"/>
      <c r="P207" s="2316"/>
      <c r="AH207" s="2323">
        <v>0</v>
      </c>
    </row>
    <row s="62286" customFormat="1" customHeight="1" ht="0.75" hidden="1">
      <c r="A208" s="2472"/>
      <c r="B208" s="2472"/>
      <c r="C208" s="1061" t="s">
        <v>1228</v>
      </c>
      <c r="D208" s="3154"/>
      <c r="E208" s="2896"/>
      <c r="F208" s="3075"/>
      <c r="G208" s="1092"/>
      <c r="H208" s="2192"/>
      <c r="I208" s="1343"/>
      <c r="J208" s="1263"/>
      <c r="K208" s="2192"/>
      <c r="L208" s="906"/>
      <c r="M208" s="1033"/>
      <c r="N208" s="1026"/>
      <c r="O208" s="2316"/>
      <c r="P208" s="2316"/>
      <c r="AH208" s="2323">
        <v>0</v>
      </c>
    </row>
    <row s="62286" customFormat="1" customHeight="1" ht="18.75" hidden="1">
      <c r="A209" s="2472" t="s">
        <v>268</v>
      </c>
      <c r="B209" s="2472" t="s">
        <v>269</v>
      </c>
      <c r="C209" s="1061"/>
      <c r="D209" s="3154"/>
      <c r="E209" s="2896"/>
      <c r="F209" s="3075" t="str">
        <f>INDEX(PT_DIFFERENTIATION_VTAR,MATCH(A209,PT_DIFFERENTIATION_VTAR_ID,0))</f>
        <v>Плата за услуги по поддержанию резервной тепловой мощности при отсутствии потребления тепловой энергии</v>
      </c>
      <c r="G209" s="3119" t="str">
        <f>INDEX(PT_DIFFERENTIATION_NTAR,MATCH(B209,PT_DIFFERENTIATION_NTAR_ID,0))</f>
        <v/>
      </c>
      <c r="H209" s="2554"/>
      <c r="I209" s="2431"/>
      <c r="J209" s="2465"/>
      <c r="K209" s="2470"/>
      <c r="L209" s="2554" t="s">
        <v>381</v>
      </c>
      <c r="M209" s="1033"/>
      <c r="N209" s="1026"/>
      <c r="O209" s="2316"/>
      <c r="P209" s="2316"/>
      <c r="AH209" s="2323">
        <v>0</v>
      </c>
    </row>
    <row s="62286" customFormat="1" customHeight="1" ht="18.75" hidden="1">
      <c r="A210" s="2472"/>
      <c r="B210" s="2472"/>
      <c r="C210" s="1061" t="s">
        <v>1219</v>
      </c>
      <c r="D210" s="3154"/>
      <c r="E210" s="2896"/>
      <c r="F210" s="3075"/>
      <c r="G210" s="3119"/>
      <c r="H210" s="2192"/>
      <c r="I210" s="1343" t="s">
        <v>1218</v>
      </c>
      <c r="J210" s="1263"/>
      <c r="K210" s="2192"/>
      <c r="L210" s="906"/>
      <c r="M210" s="1033"/>
      <c r="N210" s="1026"/>
      <c r="O210" s="2316"/>
      <c r="P210" s="2316"/>
      <c r="AH210" s="2323">
        <v>0</v>
      </c>
    </row>
    <row s="62286" customFormat="1" customHeight="1" ht="0.75" hidden="1">
      <c r="A211" s="2472"/>
      <c r="B211" s="2472"/>
      <c r="C211" s="1061" t="s">
        <v>1228</v>
      </c>
      <c r="D211" s="3154"/>
      <c r="E211" s="2896"/>
      <c r="F211" s="3075"/>
      <c r="G211" s="1092"/>
      <c r="H211" s="2192"/>
      <c r="I211" s="1343"/>
      <c r="J211" s="1263"/>
      <c r="K211" s="2192"/>
      <c r="L211" s="906"/>
      <c r="M211" s="1033"/>
      <c r="N211" s="1026"/>
      <c r="O211" s="2316"/>
      <c r="P211" s="2316"/>
      <c r="AH211" s="2323">
        <v>0</v>
      </c>
    </row>
    <row s="62286" customFormat="1" customHeight="1" ht="18.75" hidden="1">
      <c r="A212" s="2472" t="s">
        <v>274</v>
      </c>
      <c r="B212" s="2472" t="s">
        <v>275</v>
      </c>
      <c r="C212" s="1061"/>
      <c r="D212" s="3154"/>
      <c r="E212" s="2896"/>
      <c r="F212" s="3075" t="str">
        <f>INDEX(PT_DIFFERENTIATION_VTAR,MATCH(A212,PT_DIFFERENTIATION_VTAR_ID,0))</f>
        <v>Плата за подключение (технологическое присоединение) к системе теплоснабжения</v>
      </c>
      <c r="G212" s="3119" t="str">
        <f>INDEX(PT_DIFFERENTIATION_NTAR,MATCH(B212,PT_DIFFERENTIATION_NTAR_ID,0))</f>
        <v/>
      </c>
      <c r="H212" s="2554"/>
      <c r="I212" s="2431"/>
      <c r="J212" s="2465"/>
      <c r="K212" s="2470"/>
      <c r="L212" s="2554" t="s">
        <v>381</v>
      </c>
      <c r="M212" s="1033"/>
      <c r="N212" s="1026"/>
      <c r="O212" s="2316"/>
      <c r="P212" s="2316"/>
      <c r="AH212" s="2323">
        <v>0</v>
      </c>
    </row>
    <row s="62286" customFormat="1" customHeight="1" ht="18.75" hidden="1">
      <c r="A213" s="2472"/>
      <c r="B213" s="2472"/>
      <c r="C213" s="1061" t="s">
        <v>1219</v>
      </c>
      <c r="D213" s="3154"/>
      <c r="E213" s="2896"/>
      <c r="F213" s="3075"/>
      <c r="G213" s="3119"/>
      <c r="H213" s="2192"/>
      <c r="I213" s="1343" t="s">
        <v>1218</v>
      </c>
      <c r="J213" s="1263"/>
      <c r="K213" s="2192"/>
      <c r="L213" s="906"/>
      <c r="M213" s="1033"/>
      <c r="N213" s="1026"/>
      <c r="O213" s="2316"/>
      <c r="P213" s="2316"/>
      <c r="AH213" s="2323">
        <v>0</v>
      </c>
    </row>
    <row s="62286" customFormat="1" customHeight="1" ht="0.75" hidden="1">
      <c r="A214" s="2472"/>
      <c r="B214" s="2472"/>
      <c r="C214" s="1061" t="s">
        <v>1228</v>
      </c>
      <c r="D214" s="3154"/>
      <c r="E214" s="2896"/>
      <c r="F214" s="3075"/>
      <c r="G214" s="1092"/>
      <c r="H214" s="2192"/>
      <c r="I214" s="1343"/>
      <c r="J214" s="1263"/>
      <c r="K214" s="2192"/>
      <c r="L214" s="906"/>
      <c r="M214" s="1033"/>
      <c r="N214" s="1026"/>
      <c r="O214" s="2316"/>
      <c r="P214" s="2316"/>
      <c r="AH214" s="2323">
        <v>0</v>
      </c>
    </row>
    <row s="62286" customFormat="1" customHeight="1" ht="18.75" hidden="1">
      <c r="A215" s="2472" t="s">
        <v>280</v>
      </c>
      <c r="B215" s="2472" t="s">
        <v>281</v>
      </c>
      <c r="C215" s="1061"/>
      <c r="D215" s="3154"/>
      <c r="E215" s="2896"/>
      <c r="F215" s="3075" t="str">
        <f>INDEX(PT_DIFFERENTIATION_VTAR,MATCH(A215,PT_DIFFERENTIATION_VTAR_ID,0))</f>
        <v>Плата за подключение (технологическое присоединение) к системе теплоснабжения (индивидуальная)</v>
      </c>
      <c r="G215" s="3119" t="str">
        <f>INDEX(PT_DIFFERENTIATION_NTAR,MATCH(B215,PT_DIFFERENTIATION_NTAR_ID,0))</f>
        <v/>
      </c>
      <c r="H215" s="2681"/>
      <c r="I215" s="2431"/>
      <c r="J215" s="2465"/>
      <c r="K215" s="2470"/>
      <c r="L215" s="2681" t="s">
        <v>381</v>
      </c>
      <c r="M215" s="1033"/>
      <c r="N215" s="1026"/>
      <c r="O215" s="2316"/>
      <c r="P215" s="2316"/>
      <c r="AH215" s="2323">
        <v>0</v>
      </c>
    </row>
    <row s="62286" customFormat="1" customHeight="1" ht="18.75" hidden="1">
      <c r="A216" s="2472"/>
      <c r="B216" s="2472"/>
      <c r="C216" s="1061" t="s">
        <v>1219</v>
      </c>
      <c r="D216" s="3154"/>
      <c r="E216" s="2896"/>
      <c r="F216" s="3075"/>
      <c r="G216" s="3119"/>
      <c r="H216" s="2192"/>
      <c r="I216" s="1343" t="s">
        <v>1218</v>
      </c>
      <c r="J216" s="1263"/>
      <c r="K216" s="2192"/>
      <c r="L216" s="906"/>
      <c r="M216" s="1033"/>
      <c r="N216" s="1026"/>
      <c r="O216" s="2316"/>
      <c r="P216" s="2316"/>
      <c r="AH216" s="2323">
        <v>0</v>
      </c>
    </row>
    <row s="62286" customFormat="1" customHeight="1" ht="0.75" hidden="1">
      <c r="A217" s="2472"/>
      <c r="B217" s="2472"/>
      <c r="C217" s="1061" t="s">
        <v>1228</v>
      </c>
      <c r="D217" s="3154"/>
      <c r="E217" s="2896"/>
      <c r="F217" s="3075"/>
      <c r="G217" s="1092"/>
      <c r="H217" s="2192"/>
      <c r="I217" s="1343"/>
      <c r="J217" s="1263"/>
      <c r="K217" s="2192"/>
      <c r="L217" s="906"/>
      <c r="M217" s="1033"/>
      <c r="N217" s="1026"/>
      <c r="O217" s="2316"/>
      <c r="P217" s="2316"/>
      <c r="AH217" s="2323">
        <v>0</v>
      </c>
    </row>
    <row s="62286" customFormat="1" customHeight="1" ht="18.75" hidden="1">
      <c r="A218" s="2472" t="s">
        <v>300</v>
      </c>
      <c r="B218" s="2472" t="s">
        <v>301</v>
      </c>
      <c r="C218" s="1061"/>
      <c r="D218" s="3154"/>
      <c r="E218" s="2896"/>
      <c r="F218" s="3075" t="str">
        <f>INDEX(PT_DIFFERENTIATION_VTAR,MATCH(A218,PT_DIFFERENTIATION_VTAR_ID,0))</f>
        <v>Тариф на питьевую воду (питьевое водоснабжение)</v>
      </c>
      <c r="G218" s="3119" t="str">
        <f>INDEX(PT_DIFFERENTIATION_NTAR,MATCH(B218,PT_DIFFERENTIATION_NTAR_ID,0))</f>
        <v/>
      </c>
      <c r="H218" s="2554"/>
      <c r="I218" s="2431"/>
      <c r="J218" s="2465"/>
      <c r="K218" s="2470"/>
      <c r="L218" s="2554" t="s">
        <v>381</v>
      </c>
      <c r="M218" s="1033"/>
      <c r="N218" s="1026"/>
      <c r="O218" s="2316"/>
      <c r="P218" s="2316"/>
      <c r="AH218" s="2323">
        <v>0</v>
      </c>
    </row>
    <row s="62286" customFormat="1" customHeight="1" ht="18.75" hidden="1">
      <c r="A219" s="2472"/>
      <c r="B219" s="2472"/>
      <c r="C219" s="1061" t="s">
        <v>1219</v>
      </c>
      <c r="D219" s="3154"/>
      <c r="E219" s="2896"/>
      <c r="F219" s="3075"/>
      <c r="G219" s="3119"/>
      <c r="H219" s="2192"/>
      <c r="I219" s="1343" t="s">
        <v>1218</v>
      </c>
      <c r="J219" s="1263"/>
      <c r="K219" s="2192"/>
      <c r="L219" s="906"/>
      <c r="M219" s="1033"/>
      <c r="N219" s="1026"/>
      <c r="O219" s="2316"/>
      <c r="P219" s="2316"/>
      <c r="AH219" s="2323">
        <v>0</v>
      </c>
    </row>
    <row s="62286" customFormat="1" customHeight="1" ht="0.75" hidden="1">
      <c r="A220" s="2472"/>
      <c r="B220" s="2472"/>
      <c r="C220" s="1061" t="s">
        <v>1228</v>
      </c>
      <c r="D220" s="3154"/>
      <c r="E220" s="2896"/>
      <c r="F220" s="3075"/>
      <c r="G220" s="1092"/>
      <c r="H220" s="2192"/>
      <c r="I220" s="1343"/>
      <c r="J220" s="1263"/>
      <c r="K220" s="2192"/>
      <c r="L220" s="906"/>
      <c r="M220" s="1033"/>
      <c r="N220" s="1026"/>
      <c r="O220" s="2316"/>
      <c r="P220" s="2316"/>
      <c r="AH220" s="2323">
        <v>0</v>
      </c>
    </row>
    <row s="62286" customFormat="1" customHeight="1" ht="18.75" hidden="1">
      <c r="A221" s="2472" t="s">
        <v>305</v>
      </c>
      <c r="B221" s="2472" t="s">
        <v>306</v>
      </c>
      <c r="C221" s="1061"/>
      <c r="D221" s="3154"/>
      <c r="E221" s="2896"/>
      <c r="F221" s="3075" t="str">
        <f>INDEX(PT_DIFFERENTIATION_VTAR,MATCH(A221,PT_DIFFERENTIATION_VTAR_ID,0))</f>
        <v>Тариф на техническую воду</v>
      </c>
      <c r="G221" s="3119" t="str">
        <f>INDEX(PT_DIFFERENTIATION_NTAR,MATCH(B221,PT_DIFFERENTIATION_NTAR_ID,0))</f>
        <v/>
      </c>
      <c r="H221" s="2554"/>
      <c r="I221" s="2431"/>
      <c r="J221" s="2465"/>
      <c r="K221" s="2470"/>
      <c r="L221" s="2554" t="s">
        <v>381</v>
      </c>
      <c r="M221" s="1033"/>
      <c r="N221" s="1026"/>
      <c r="O221" s="2316"/>
      <c r="P221" s="2316"/>
      <c r="AH221" s="2323">
        <v>0</v>
      </c>
    </row>
    <row s="62286" customFormat="1" customHeight="1" ht="18.75" hidden="1">
      <c r="A222" s="2472"/>
      <c r="B222" s="2472"/>
      <c r="C222" s="1061" t="s">
        <v>1219</v>
      </c>
      <c r="D222" s="3154"/>
      <c r="E222" s="2896"/>
      <c r="F222" s="3075"/>
      <c r="G222" s="3119"/>
      <c r="H222" s="2192"/>
      <c r="I222" s="1343" t="s">
        <v>1218</v>
      </c>
      <c r="J222" s="1263"/>
      <c r="K222" s="2192"/>
      <c r="L222" s="906"/>
      <c r="M222" s="1033"/>
      <c r="N222" s="1026"/>
      <c r="O222" s="2316"/>
      <c r="P222" s="2316"/>
      <c r="AH222" s="2323">
        <v>0</v>
      </c>
    </row>
    <row s="62286" customFormat="1" customHeight="1" ht="0.75" hidden="1">
      <c r="A223" s="2472"/>
      <c r="B223" s="2472"/>
      <c r="C223" s="1061" t="s">
        <v>1228</v>
      </c>
      <c r="D223" s="3154"/>
      <c r="E223" s="2896"/>
      <c r="F223" s="3075"/>
      <c r="G223" s="1092"/>
      <c r="H223" s="2192"/>
      <c r="I223" s="1343"/>
      <c r="J223" s="1263"/>
      <c r="K223" s="2192"/>
      <c r="L223" s="906"/>
      <c r="M223" s="1033"/>
      <c r="N223" s="1026"/>
      <c r="O223" s="2316"/>
      <c r="P223" s="2316"/>
      <c r="AH223" s="2323">
        <v>0</v>
      </c>
    </row>
    <row s="62286" customFormat="1" customHeight="1" ht="18.75" hidden="1">
      <c r="A224" s="2472" t="s">
        <v>310</v>
      </c>
      <c r="B224" s="2472" t="s">
        <v>311</v>
      </c>
      <c r="C224" s="1061"/>
      <c r="D224" s="3154"/>
      <c r="E224" s="2896"/>
      <c r="F224" s="3075" t="str">
        <f>INDEX(PT_DIFFERENTIATION_VTAR,MATCH(A224,PT_DIFFERENTIATION_VTAR_ID,0))</f>
        <v>Тариф на транспортировку воды</v>
      </c>
      <c r="G224" s="3119" t="str">
        <f>INDEX(PT_DIFFERENTIATION_NTAR,MATCH(B224,PT_DIFFERENTIATION_NTAR_ID,0))</f>
        <v/>
      </c>
      <c r="H224" s="2554"/>
      <c r="I224" s="2431"/>
      <c r="J224" s="2465"/>
      <c r="K224" s="2470"/>
      <c r="L224" s="2554" t="s">
        <v>381</v>
      </c>
      <c r="M224" s="1033"/>
      <c r="N224" s="1026"/>
      <c r="O224" s="2316"/>
      <c r="P224" s="2316"/>
      <c r="AH224" s="2323">
        <v>0</v>
      </c>
    </row>
    <row s="62286" customFormat="1" customHeight="1" ht="18.75" hidden="1">
      <c r="A225" s="2472"/>
      <c r="B225" s="2472"/>
      <c r="C225" s="1061" t="s">
        <v>1219</v>
      </c>
      <c r="D225" s="3154"/>
      <c r="E225" s="2896"/>
      <c r="F225" s="3075"/>
      <c r="G225" s="3119"/>
      <c r="H225" s="2192"/>
      <c r="I225" s="1343" t="s">
        <v>1218</v>
      </c>
      <c r="J225" s="1263"/>
      <c r="K225" s="2192"/>
      <c r="L225" s="906"/>
      <c r="M225" s="1033"/>
      <c r="N225" s="1026"/>
      <c r="O225" s="2316"/>
      <c r="P225" s="2316"/>
      <c r="AH225" s="2323">
        <v>0</v>
      </c>
    </row>
    <row s="62286" customFormat="1" customHeight="1" ht="0.75" hidden="1">
      <c r="A226" s="2472"/>
      <c r="B226" s="2472"/>
      <c r="C226" s="1061" t="s">
        <v>1228</v>
      </c>
      <c r="D226" s="3154"/>
      <c r="E226" s="2896"/>
      <c r="F226" s="3075"/>
      <c r="G226" s="1092"/>
      <c r="H226" s="2192"/>
      <c r="I226" s="1343"/>
      <c r="J226" s="1263"/>
      <c r="K226" s="2192"/>
      <c r="L226" s="906"/>
      <c r="M226" s="1033"/>
      <c r="N226" s="1026"/>
      <c r="O226" s="2316"/>
      <c r="P226" s="2316"/>
      <c r="AH226" s="2323">
        <v>0</v>
      </c>
    </row>
    <row s="62286" customFormat="1" customHeight="1" ht="18.75" hidden="1">
      <c r="A227" s="2472" t="s">
        <v>315</v>
      </c>
      <c r="B227" s="2472" t="s">
        <v>316</v>
      </c>
      <c r="C227" s="1061"/>
      <c r="D227" s="3154"/>
      <c r="E227" s="2896"/>
      <c r="F227" s="3075" t="str">
        <f>INDEX(PT_DIFFERENTIATION_VTAR,MATCH(A227,PT_DIFFERENTIATION_VTAR_ID,0))</f>
        <v>Тариф на подвоз воды</v>
      </c>
      <c r="G227" s="3119" t="str">
        <f>INDEX(PT_DIFFERENTIATION_NTAR,MATCH(B227,PT_DIFFERENTIATION_NTAR_ID,0))</f>
        <v/>
      </c>
      <c r="H227" s="2554"/>
      <c r="I227" s="2431"/>
      <c r="J227" s="2465"/>
      <c r="K227" s="2470"/>
      <c r="L227" s="2554" t="s">
        <v>381</v>
      </c>
      <c r="M227" s="1033"/>
      <c r="N227" s="1026"/>
      <c r="O227" s="2316"/>
      <c r="P227" s="2316"/>
      <c r="AH227" s="2323">
        <v>0</v>
      </c>
    </row>
    <row s="62286" customFormat="1" customHeight="1" ht="18.75" hidden="1">
      <c r="A228" s="2472"/>
      <c r="B228" s="2472"/>
      <c r="C228" s="1061" t="s">
        <v>1219</v>
      </c>
      <c r="D228" s="3154"/>
      <c r="E228" s="2896"/>
      <c r="F228" s="3075"/>
      <c r="G228" s="3119"/>
      <c r="H228" s="2192"/>
      <c r="I228" s="1343" t="s">
        <v>1218</v>
      </c>
      <c r="J228" s="1263"/>
      <c r="K228" s="2192"/>
      <c r="L228" s="906"/>
      <c r="M228" s="1033"/>
      <c r="N228" s="1026"/>
      <c r="O228" s="2316"/>
      <c r="P228" s="2316"/>
      <c r="AH228" s="2323">
        <v>0</v>
      </c>
    </row>
    <row s="62286" customFormat="1" customHeight="1" ht="0.75" hidden="1">
      <c r="A229" s="2472"/>
      <c r="B229" s="2472"/>
      <c r="C229" s="1061" t="s">
        <v>1228</v>
      </c>
      <c r="D229" s="3154"/>
      <c r="E229" s="2896"/>
      <c r="F229" s="3075"/>
      <c r="G229" s="1092"/>
      <c r="H229" s="2192"/>
      <c r="I229" s="1343"/>
      <c r="J229" s="1263"/>
      <c r="K229" s="2192"/>
      <c r="L229" s="906"/>
      <c r="M229" s="1033"/>
      <c r="N229" s="1026"/>
      <c r="O229" s="2316"/>
      <c r="P229" s="2316"/>
      <c r="AH229" s="2323">
        <v>0</v>
      </c>
    </row>
    <row s="62286" customFormat="1" customHeight="1" ht="18.75" hidden="1">
      <c r="A230" s="2472" t="s">
        <v>320</v>
      </c>
      <c r="B230" s="2472" t="s">
        <v>321</v>
      </c>
      <c r="C230" s="1061"/>
      <c r="D230" s="3154"/>
      <c r="E230" s="2896"/>
      <c r="F230" s="3075" t="str">
        <f>INDEX(PT_DIFFERENTIATION_VTAR,MATCH(A230,PT_DIFFERENTIATION_VTAR_ID,0))</f>
        <v>Тариф на подключение (технологическое присоединение) к централизованной системе холодного водоснабжения</v>
      </c>
      <c r="G230" s="3119" t="str">
        <f>INDEX(PT_DIFFERENTIATION_NTAR,MATCH(B230,PT_DIFFERENTIATION_NTAR_ID,0))</f>
        <v/>
      </c>
      <c r="H230" s="2554"/>
      <c r="I230" s="2431"/>
      <c r="J230" s="2465"/>
      <c r="K230" s="2470"/>
      <c r="L230" s="2554" t="s">
        <v>381</v>
      </c>
      <c r="M230" s="1033"/>
      <c r="N230" s="1026"/>
      <c r="O230" s="2316"/>
      <c r="P230" s="2316"/>
      <c r="AH230" s="2323">
        <v>0</v>
      </c>
    </row>
    <row s="62286" customFormat="1" customHeight="1" ht="18.75" hidden="1">
      <c r="A231" s="2472"/>
      <c r="B231" s="2472"/>
      <c r="C231" s="1061" t="s">
        <v>1219</v>
      </c>
      <c r="D231" s="3154"/>
      <c r="E231" s="2896"/>
      <c r="F231" s="3075"/>
      <c r="G231" s="3119"/>
      <c r="H231" s="2192"/>
      <c r="I231" s="1343" t="s">
        <v>1218</v>
      </c>
      <c r="J231" s="1263"/>
      <c r="K231" s="2192"/>
      <c r="L231" s="906"/>
      <c r="M231" s="1033"/>
      <c r="N231" s="1026"/>
      <c r="O231" s="2316"/>
      <c r="P231" s="2316"/>
      <c r="AH231" s="2323">
        <v>0</v>
      </c>
    </row>
    <row s="62286" customFormat="1" customHeight="1" ht="0.75" hidden="1">
      <c r="A232" s="2472"/>
      <c r="B232" s="2472"/>
      <c r="C232" s="1061" t="s">
        <v>1228</v>
      </c>
      <c r="D232" s="3154"/>
      <c r="E232" s="2896"/>
      <c r="F232" s="3075"/>
      <c r="G232" s="1092"/>
      <c r="H232" s="2192"/>
      <c r="I232" s="1343"/>
      <c r="J232" s="1263"/>
      <c r="K232" s="2192"/>
      <c r="L232" s="906"/>
      <c r="M232" s="1033"/>
      <c r="N232" s="1026"/>
      <c r="O232" s="2316"/>
      <c r="P232" s="2316"/>
      <c r="AH232" s="2323">
        <v>0</v>
      </c>
    </row>
    <row s="62286" customFormat="1" customHeight="1" ht="18.75" hidden="1">
      <c r="A233" s="2472" t="s">
        <v>325</v>
      </c>
      <c r="B233" s="2472" t="s">
        <v>326</v>
      </c>
      <c r="C233" s="1061"/>
      <c r="D233" s="3154"/>
      <c r="E233" s="2896"/>
      <c r="F233" s="3075" t="str">
        <f>INDEX(PT_DIFFERENTIATION_VTAR,MATCH(A233,PT_DIFFERENTIATION_VTAR_ID,0))</f>
        <v>Тариф на горячую воду (горячее водоснабжение)</v>
      </c>
      <c r="G233" s="3119" t="str">
        <f>INDEX(PT_DIFFERENTIATION_NTAR,MATCH(B233,PT_DIFFERENTIATION_NTAR_ID,0))</f>
        <v/>
      </c>
      <c r="H233" s="2554"/>
      <c r="I233" s="2431"/>
      <c r="J233" s="2465"/>
      <c r="K233" s="2470"/>
      <c r="L233" s="2554" t="s">
        <v>381</v>
      </c>
      <c r="M233" s="1033"/>
      <c r="N233" s="1026"/>
      <c r="O233" s="2316"/>
      <c r="P233" s="2316"/>
      <c r="AH233" s="2323">
        <v>0</v>
      </c>
    </row>
    <row s="62286" customFormat="1" customHeight="1" ht="18.75" hidden="1">
      <c r="A234" s="2472"/>
      <c r="B234" s="2472"/>
      <c r="C234" s="1061" t="s">
        <v>1219</v>
      </c>
      <c r="D234" s="3154"/>
      <c r="E234" s="2896"/>
      <c r="F234" s="3075"/>
      <c r="G234" s="3119"/>
      <c r="H234" s="2192"/>
      <c r="I234" s="1343" t="s">
        <v>1218</v>
      </c>
      <c r="J234" s="1263"/>
      <c r="K234" s="2192"/>
      <c r="L234" s="906"/>
      <c r="M234" s="1033"/>
      <c r="N234" s="1026"/>
      <c r="O234" s="2316"/>
      <c r="P234" s="2316"/>
      <c r="AH234" s="2323">
        <v>0</v>
      </c>
    </row>
    <row s="62286" customFormat="1" customHeight="1" ht="0.75" hidden="1">
      <c r="A235" s="2472"/>
      <c r="B235" s="2472"/>
      <c r="C235" s="1061" t="s">
        <v>1228</v>
      </c>
      <c r="D235" s="3154"/>
      <c r="E235" s="2896"/>
      <c r="F235" s="3075"/>
      <c r="G235" s="1092"/>
      <c r="H235" s="2192"/>
      <c r="I235" s="1343"/>
      <c r="J235" s="1263"/>
      <c r="K235" s="2192"/>
      <c r="L235" s="906"/>
      <c r="M235" s="1033"/>
      <c r="N235" s="1026"/>
      <c r="O235" s="2316"/>
      <c r="P235" s="2316"/>
      <c r="AH235" s="2323">
        <v>0</v>
      </c>
    </row>
    <row s="62286" customFormat="1" customHeight="1" ht="18.75" hidden="1">
      <c r="A236" s="2472" t="s">
        <v>330</v>
      </c>
      <c r="B236" s="2472" t="s">
        <v>331</v>
      </c>
      <c r="C236" s="1061"/>
      <c r="D236" s="3154"/>
      <c r="E236" s="2896"/>
      <c r="F236" s="3075" t="str">
        <f>INDEX(PT_DIFFERENTIATION_VTAR,MATCH(A236,PT_DIFFERENTIATION_VTAR_ID,0))</f>
        <v>Тариф на транспортировку горячей воды</v>
      </c>
      <c r="G236" s="3119" t="str">
        <f>INDEX(PT_DIFFERENTIATION_NTAR,MATCH(B236,PT_DIFFERENTIATION_NTAR_ID,0))</f>
        <v/>
      </c>
      <c r="H236" s="2554"/>
      <c r="I236" s="2431"/>
      <c r="J236" s="2465"/>
      <c r="K236" s="2470"/>
      <c r="L236" s="2554" t="s">
        <v>381</v>
      </c>
      <c r="M236" s="1033"/>
      <c r="N236" s="1026"/>
      <c r="O236" s="2316"/>
      <c r="P236" s="2316"/>
      <c r="AH236" s="2323">
        <v>0</v>
      </c>
    </row>
    <row s="62286" customFormat="1" customHeight="1" ht="18.75" hidden="1">
      <c r="A237" s="2472"/>
      <c r="B237" s="2472"/>
      <c r="C237" s="1061" t="s">
        <v>1219</v>
      </c>
      <c r="D237" s="3154"/>
      <c r="E237" s="2896"/>
      <c r="F237" s="3075"/>
      <c r="G237" s="3119"/>
      <c r="H237" s="2192"/>
      <c r="I237" s="1343" t="s">
        <v>1218</v>
      </c>
      <c r="J237" s="1263"/>
      <c r="K237" s="2192"/>
      <c r="L237" s="906"/>
      <c r="M237" s="1033"/>
      <c r="N237" s="1026"/>
      <c r="O237" s="2316"/>
      <c r="P237" s="2316"/>
      <c r="AH237" s="2323">
        <v>0</v>
      </c>
    </row>
    <row s="62286" customFormat="1" customHeight="1" ht="0.75" hidden="1">
      <c r="A238" s="2472"/>
      <c r="B238" s="2472"/>
      <c r="C238" s="1061" t="s">
        <v>1228</v>
      </c>
      <c r="D238" s="3154"/>
      <c r="E238" s="2896"/>
      <c r="F238" s="3075"/>
      <c r="G238" s="1092"/>
      <c r="H238" s="2192"/>
      <c r="I238" s="1343"/>
      <c r="J238" s="1263"/>
      <c r="K238" s="2192"/>
      <c r="L238" s="906"/>
      <c r="M238" s="1033"/>
      <c r="N238" s="1026"/>
      <c r="O238" s="2316"/>
      <c r="P238" s="2316"/>
      <c r="AH238" s="2323">
        <v>0</v>
      </c>
    </row>
    <row s="62286" customFormat="1" customHeight="1" ht="18.75" hidden="1">
      <c r="A239" s="2472" t="s">
        <v>335</v>
      </c>
      <c r="B239" s="2472" t="s">
        <v>336</v>
      </c>
      <c r="C239" s="1061"/>
      <c r="D239" s="3154"/>
      <c r="E239" s="2896"/>
      <c r="F239" s="3075" t="str">
        <f>INDEX(PT_DIFFERENTIATION_VTAR,MATCH(A239,PT_DIFFERENTIATION_VTAR_ID,0))</f>
        <v>Тариф на подключение (технологическое присоединение) к централизованной системе горячего водоснабжения</v>
      </c>
      <c r="G239" s="3119" t="str">
        <f>INDEX(PT_DIFFERENTIATION_NTAR,MATCH(B239,PT_DIFFERENTIATION_NTAR_ID,0))</f>
        <v/>
      </c>
      <c r="H239" s="2554"/>
      <c r="I239" s="2431"/>
      <c r="J239" s="2465"/>
      <c r="K239" s="2470"/>
      <c r="L239" s="2554" t="s">
        <v>381</v>
      </c>
      <c r="M239" s="1033"/>
      <c r="N239" s="1026"/>
      <c r="O239" s="2316"/>
      <c r="P239" s="2316"/>
      <c r="AH239" s="2323">
        <v>0</v>
      </c>
    </row>
    <row s="62286" customFormat="1" customHeight="1" ht="18.75" hidden="1">
      <c r="A240" s="2472"/>
      <c r="B240" s="2472"/>
      <c r="C240" s="1061" t="s">
        <v>1219</v>
      </c>
      <c r="D240" s="3154"/>
      <c r="E240" s="2896"/>
      <c r="F240" s="3075"/>
      <c r="G240" s="3119"/>
      <c r="H240" s="2192"/>
      <c r="I240" s="1343" t="s">
        <v>1218</v>
      </c>
      <c r="J240" s="1263"/>
      <c r="K240" s="2192"/>
      <c r="L240" s="906"/>
      <c r="M240" s="1033"/>
      <c r="N240" s="1026"/>
      <c r="O240" s="2316"/>
      <c r="P240" s="2316"/>
      <c r="AH240" s="2323">
        <v>0</v>
      </c>
    </row>
    <row s="62286" customFormat="1" customHeight="1" ht="0.75" hidden="1">
      <c r="A241" s="2472"/>
      <c r="B241" s="2472"/>
      <c r="C241" s="1061" t="s">
        <v>1228</v>
      </c>
      <c r="D241" s="3154"/>
      <c r="E241" s="2896"/>
      <c r="F241" s="3075"/>
      <c r="G241" s="1092"/>
      <c r="H241" s="2192"/>
      <c r="I241" s="1343"/>
      <c r="J241" s="1263"/>
      <c r="K241" s="2192"/>
      <c r="L241" s="906"/>
      <c r="M241" s="1033"/>
      <c r="N241" s="1026"/>
      <c r="O241" s="2316"/>
      <c r="P241" s="2316"/>
      <c r="AH241" s="2323">
        <v>0</v>
      </c>
    </row>
    <row s="62286" customFormat="1" customHeight="1" ht="18.75" hidden="1">
      <c r="A242" s="2472" t="s">
        <v>340</v>
      </c>
      <c r="B242" s="2472" t="s">
        <v>341</v>
      </c>
      <c r="C242" s="1061"/>
      <c r="D242" s="3154"/>
      <c r="E242" s="2896"/>
      <c r="F242" s="3075" t="str">
        <f>INDEX(PT_DIFFERENTIATION_VTAR,MATCH(A242,PT_DIFFERENTIATION_VTAR_ID,0))</f>
        <v>Тариф на водоотведение</v>
      </c>
      <c r="G242" s="3119" t="str">
        <f>INDEX(PT_DIFFERENTIATION_NTAR,MATCH(B242,PT_DIFFERENTIATION_NTAR_ID,0))</f>
        <v/>
      </c>
      <c r="H242" s="2554"/>
      <c r="I242" s="2431"/>
      <c r="J242" s="2465"/>
      <c r="K242" s="2470"/>
      <c r="L242" s="2554" t="s">
        <v>381</v>
      </c>
      <c r="M242" s="1033"/>
      <c r="N242" s="1026"/>
      <c r="O242" s="2316"/>
      <c r="P242" s="2316"/>
      <c r="AH242" s="2323">
        <v>0</v>
      </c>
    </row>
    <row s="62286" customFormat="1" customHeight="1" ht="18.75" hidden="1">
      <c r="A243" s="2472"/>
      <c r="B243" s="2472"/>
      <c r="C243" s="1061" t="s">
        <v>1219</v>
      </c>
      <c r="D243" s="3154"/>
      <c r="E243" s="2896"/>
      <c r="F243" s="3075"/>
      <c r="G243" s="3119"/>
      <c r="H243" s="2192"/>
      <c r="I243" s="1343" t="s">
        <v>1218</v>
      </c>
      <c r="J243" s="1263"/>
      <c r="K243" s="2192"/>
      <c r="L243" s="906"/>
      <c r="M243" s="1033"/>
      <c r="N243" s="1026"/>
      <c r="O243" s="2316"/>
      <c r="P243" s="2316"/>
      <c r="AH243" s="2323">
        <v>0</v>
      </c>
    </row>
    <row s="62286" customFormat="1" customHeight="1" ht="0.75" hidden="1">
      <c r="A244" s="2472"/>
      <c r="B244" s="2472"/>
      <c r="C244" s="1061" t="s">
        <v>1228</v>
      </c>
      <c r="D244" s="3154"/>
      <c r="E244" s="2896"/>
      <c r="F244" s="3075"/>
      <c r="G244" s="1092"/>
      <c r="H244" s="2192"/>
      <c r="I244" s="1343"/>
      <c r="J244" s="1263"/>
      <c r="K244" s="2192"/>
      <c r="L244" s="906"/>
      <c r="M244" s="1033"/>
      <c r="N244" s="1026"/>
      <c r="O244" s="2316"/>
      <c r="P244" s="2316"/>
      <c r="AH244" s="2323">
        <v>0</v>
      </c>
    </row>
    <row s="62286" customFormat="1" customHeight="1" ht="18.75" hidden="1">
      <c r="A245" s="2472" t="s">
        <v>345</v>
      </c>
      <c r="B245" s="2472" t="s">
        <v>346</v>
      </c>
      <c r="C245" s="1061"/>
      <c r="D245" s="3154"/>
      <c r="E245" s="2896"/>
      <c r="F245" s="3075" t="str">
        <f>INDEX(PT_DIFFERENTIATION_VTAR,MATCH(A245,PT_DIFFERENTIATION_VTAR_ID,0))</f>
        <v>Тариф на транспортировку сточных вод</v>
      </c>
      <c r="G245" s="3119" t="str">
        <f>INDEX(PT_DIFFERENTIATION_NTAR,MATCH(B245,PT_DIFFERENTIATION_NTAR_ID,0))</f>
        <v/>
      </c>
      <c r="H245" s="2554"/>
      <c r="I245" s="2431"/>
      <c r="J245" s="2465"/>
      <c r="K245" s="2470"/>
      <c r="L245" s="2554" t="s">
        <v>381</v>
      </c>
      <c r="M245" s="1033"/>
      <c r="N245" s="1026"/>
      <c r="O245" s="2316"/>
      <c r="P245" s="2316"/>
      <c r="AH245" s="2323">
        <v>0</v>
      </c>
    </row>
    <row s="62286" customFormat="1" customHeight="1" ht="18.75" hidden="1">
      <c r="A246" s="2472"/>
      <c r="B246" s="2472"/>
      <c r="C246" s="1061" t="s">
        <v>1219</v>
      </c>
      <c r="D246" s="3154"/>
      <c r="E246" s="2896"/>
      <c r="F246" s="3075"/>
      <c r="G246" s="3119"/>
      <c r="H246" s="2192"/>
      <c r="I246" s="1343" t="s">
        <v>1218</v>
      </c>
      <c r="J246" s="1263"/>
      <c r="K246" s="2192"/>
      <c r="L246" s="906"/>
      <c r="M246" s="1033"/>
      <c r="N246" s="1026"/>
      <c r="O246" s="2316"/>
      <c r="P246" s="2316"/>
      <c r="AH246" s="2323">
        <v>0</v>
      </c>
    </row>
    <row s="62286" customFormat="1" customHeight="1" ht="0.75" hidden="1">
      <c r="A247" s="2472"/>
      <c r="B247" s="2472"/>
      <c r="C247" s="1061" t="s">
        <v>1228</v>
      </c>
      <c r="D247" s="3154"/>
      <c r="E247" s="2896"/>
      <c r="F247" s="3075"/>
      <c r="G247" s="1092"/>
      <c r="H247" s="2192"/>
      <c r="I247" s="1343"/>
      <c r="J247" s="1263"/>
      <c r="K247" s="2192"/>
      <c r="L247" s="906"/>
      <c r="M247" s="1033"/>
      <c r="N247" s="1026"/>
      <c r="O247" s="2316"/>
      <c r="P247" s="2316"/>
      <c r="AH247" s="2323">
        <v>0</v>
      </c>
    </row>
    <row s="62286" customFormat="1" customHeight="1" ht="18.75" hidden="1">
      <c r="A248" s="2472" t="s">
        <v>350</v>
      </c>
      <c r="B248" s="2472" t="s">
        <v>351</v>
      </c>
      <c r="C248" s="1061"/>
      <c r="D248" s="3154"/>
      <c r="E248" s="2896"/>
      <c r="F248" s="3075" t="str">
        <f>INDEX(PT_DIFFERENTIATION_VTAR,MATCH(A248,PT_DIFFERENTIATION_VTAR_ID,0))</f>
        <v>Тариф на подключение (технологическое присоединение) к централизованной системе водоотведения</v>
      </c>
      <c r="G248" s="3119" t="str">
        <f>INDEX(PT_DIFFERENTIATION_NTAR,MATCH(B248,PT_DIFFERENTIATION_NTAR_ID,0))</f>
        <v/>
      </c>
      <c r="H248" s="2554"/>
      <c r="I248" s="2431"/>
      <c r="J248" s="2465"/>
      <c r="K248" s="2470"/>
      <c r="L248" s="2554" t="s">
        <v>381</v>
      </c>
      <c r="M248" s="1033"/>
      <c r="N248" s="1026"/>
      <c r="O248" s="2316"/>
      <c r="P248" s="2316"/>
      <c r="AH248" s="2323">
        <v>0</v>
      </c>
    </row>
    <row s="62286" customFormat="1" customHeight="1" ht="18.75" hidden="1">
      <c r="A249" s="2472"/>
      <c r="B249" s="2472"/>
      <c r="C249" s="1061" t="s">
        <v>1219</v>
      </c>
      <c r="D249" s="3154"/>
      <c r="E249" s="2896"/>
      <c r="F249" s="3075"/>
      <c r="G249" s="3119"/>
      <c r="H249" s="2192"/>
      <c r="I249" s="1343" t="s">
        <v>1218</v>
      </c>
      <c r="J249" s="1263"/>
      <c r="K249" s="2192"/>
      <c r="L249" s="906"/>
      <c r="M249" s="1033"/>
      <c r="N249" s="1026"/>
      <c r="O249" s="2316"/>
      <c r="P249" s="2316"/>
      <c r="AH249" s="2323">
        <v>0</v>
      </c>
    </row>
    <row s="62286" customFormat="1" customHeight="1" ht="1.05">
      <c r="A250" s="2472"/>
      <c r="B250" s="2472"/>
      <c r="C250" s="1061" t="s">
        <v>1228</v>
      </c>
      <c r="D250" s="3154"/>
      <c r="E250" s="2896"/>
      <c r="F250" s="3075"/>
      <c r="G250" s="1092"/>
      <c r="H250" s="2192"/>
      <c r="I250" s="1343"/>
      <c r="J250" s="1263"/>
      <c r="K250" s="2192"/>
      <c r="L250" s="906"/>
      <c r="M250" s="1033"/>
      <c r="N250" s="1026"/>
      <c r="O250" s="2316"/>
      <c r="P250" s="2316"/>
      <c r="AH250" s="2323">
        <v>1</v>
      </c>
    </row>
    <row customHeight="1" ht="19.95">
      <c r="A251" s="2472"/>
      <c r="B251" s="2472"/>
      <c r="D251" s="1068"/>
      <c r="E251" s="839" t="s">
        <v>92</v>
      </c>
      <c r="F251" s="315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251" s="3152"/>
      <c r="H251" s="3152"/>
      <c r="I251" s="3152"/>
      <c r="J251" s="3152"/>
      <c r="K251" s="3152"/>
      <c r="L251" s="3152"/>
      <c r="M251" s="989"/>
      <c r="N251" s="1026"/>
      <c r="AH251" s="1066">
        <v>19</v>
      </c>
    </row>
    <row s="62286" customFormat="1" customHeight="1" ht="60.75">
      <c r="A252" s="2472" t="s">
        <v>166</v>
      </c>
      <c r="B252" s="2472" t="s">
        <v>167</v>
      </c>
      <c r="C252" s="1061"/>
      <c r="D252" s="3154"/>
      <c r="E252" s="2896"/>
      <c r="F252" s="3075" t="str">
        <f>INDEX(PT_DIFFERENTIATION_VTAR,MATCH(A252,PT_DIFFERENTIATION_VTAR_ID,0))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2" s="3119" t="str">
        <f>INDEX(PT_DIFFERENTIATION_NTAR,MATCH(B252,PT_DIFFERENTIATION_NTAR_ID,0))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252" s="2554"/>
      <c r="I252" s="26819">
        <v>45292</v>
      </c>
      <c r="J252" s="2465">
        <v>45657</v>
      </c>
      <c r="K252" s="2470">
        <v>582.37</v>
      </c>
      <c r="L252" s="2554" t="s">
        <v>381</v>
      </c>
      <c r="M252" s="28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252" s="1026"/>
      <c r="O252" s="2316"/>
      <c r="P252" s="2316"/>
      <c r="AH252" s="2323">
        <v>0</v>
      </c>
    </row>
    <row s="62286" customFormat="1" customHeight="1" ht="56.25">
      <c r="A253" s="23333"/>
      <c r="B253" s="23333"/>
      <c r="C253" s="26822"/>
      <c r="D253" s="26823"/>
      <c r="E253" s="26824"/>
      <c r="F253" s="26824"/>
      <c r="G253" s="26824"/>
      <c r="H253" s="23204" t="s">
        <v>104</v>
      </c>
      <c r="I253" s="26819">
        <v>45658</v>
      </c>
      <c r="J253" s="26820">
        <v>46022</v>
      </c>
      <c r="K253" s="26910">
        <v>589.87</v>
      </c>
      <c r="L253" s="23206" t="s">
        <v>381</v>
      </c>
      <c r="M253" s="26827"/>
      <c r="N253" s="26828"/>
      <c r="O253" s="23339"/>
      <c r="P253" s="23339"/>
      <c r="Q253" s="22944"/>
      <c r="R253" s="22944"/>
      <c r="S253" s="22944"/>
      <c r="T253" s="22944"/>
      <c r="U253" s="22944"/>
      <c r="V253" s="22944"/>
      <c r="W253" s="22944"/>
      <c r="X253" s="22944"/>
      <c r="Y253" s="22944"/>
      <c r="Z253" s="22944"/>
      <c r="AA253" s="22944"/>
      <c r="AB253" s="22944"/>
      <c r="AC253" s="22944"/>
      <c r="AD253" s="22944"/>
      <c r="AE253" s="22944"/>
      <c r="AF253" s="22944"/>
      <c r="AG253" s="22944"/>
      <c r="AH253" s="22944">
        <v>0</v>
      </c>
    </row>
    <row s="62286" customFormat="1" customHeight="1" ht="56.25">
      <c r="A254" s="23333"/>
      <c r="B254" s="23333"/>
      <c r="C254" s="26822"/>
      <c r="D254" s="26823"/>
      <c r="E254" s="26824"/>
      <c r="F254" s="26824"/>
      <c r="G254" s="26824"/>
      <c r="H254" s="23204" t="s">
        <v>104</v>
      </c>
      <c r="I254" s="26819">
        <v>46023</v>
      </c>
      <c r="J254" s="26820">
        <v>46387</v>
      </c>
      <c r="K254" s="26910">
        <v>581.307</v>
      </c>
      <c r="L254" s="23206" t="s">
        <v>381</v>
      </c>
      <c r="M254" s="26827"/>
      <c r="N254" s="26828"/>
      <c r="O254" s="23339"/>
      <c r="P254" s="23339"/>
      <c r="Q254" s="22944"/>
      <c r="R254" s="22944"/>
      <c r="S254" s="22944"/>
      <c r="T254" s="22944"/>
      <c r="U254" s="22944"/>
      <c r="V254" s="22944"/>
      <c r="W254" s="22944"/>
      <c r="X254" s="22944"/>
      <c r="Y254" s="22944"/>
      <c r="Z254" s="22944"/>
      <c r="AA254" s="22944"/>
      <c r="AB254" s="22944"/>
      <c r="AC254" s="22944"/>
      <c r="AD254" s="22944"/>
      <c r="AE254" s="22944"/>
      <c r="AF254" s="22944"/>
      <c r="AG254" s="22944"/>
      <c r="AH254" s="22944">
        <v>0</v>
      </c>
    </row>
    <row s="62286" customFormat="1" customHeight="1" ht="56.25">
      <c r="A255" s="23333"/>
      <c r="B255" s="23333"/>
      <c r="C255" s="26822"/>
      <c r="D255" s="26823"/>
      <c r="E255" s="26824"/>
      <c r="F255" s="26824"/>
      <c r="G255" s="26824"/>
      <c r="H255" s="23204" t="s">
        <v>104</v>
      </c>
      <c r="I255" s="26819">
        <v>46388</v>
      </c>
      <c r="J255" s="26820">
        <v>46752</v>
      </c>
      <c r="K255" s="26910">
        <v>582.37</v>
      </c>
      <c r="L255" s="23206" t="s">
        <v>381</v>
      </c>
      <c r="M255" s="26827"/>
      <c r="N255" s="26828"/>
      <c r="O255" s="23339"/>
      <c r="P255" s="23339"/>
      <c r="Q255" s="22944"/>
      <c r="R255" s="22944"/>
      <c r="S255" s="22944"/>
      <c r="T255" s="22944"/>
      <c r="U255" s="22944"/>
      <c r="V255" s="22944"/>
      <c r="W255" s="22944"/>
      <c r="X255" s="22944"/>
      <c r="Y255" s="22944"/>
      <c r="Z255" s="22944"/>
      <c r="AA255" s="22944"/>
      <c r="AB255" s="22944"/>
      <c r="AC255" s="22944"/>
      <c r="AD255" s="22944"/>
      <c r="AE255" s="22944"/>
      <c r="AF255" s="22944"/>
      <c r="AG255" s="22944"/>
      <c r="AH255" s="22944">
        <v>0</v>
      </c>
    </row>
    <row s="62286" customFormat="1" customHeight="1" ht="56.25">
      <c r="A256" s="23333"/>
      <c r="B256" s="23333"/>
      <c r="C256" s="26822"/>
      <c r="D256" s="26823"/>
      <c r="E256" s="26824"/>
      <c r="F256" s="26824"/>
      <c r="G256" s="26824"/>
      <c r="H256" s="23204" t="s">
        <v>104</v>
      </c>
      <c r="I256" s="26819">
        <v>46753</v>
      </c>
      <c r="J256" s="26820">
        <v>47118</v>
      </c>
      <c r="K256" s="26910">
        <v>582.37</v>
      </c>
      <c r="L256" s="23206" t="s">
        <v>381</v>
      </c>
      <c r="M256" s="26827"/>
      <c r="N256" s="26828"/>
      <c r="O256" s="23339"/>
      <c r="P256" s="23339"/>
      <c r="Q256" s="22944"/>
      <c r="R256" s="22944"/>
      <c r="S256" s="22944"/>
      <c r="T256" s="22944"/>
      <c r="U256" s="22944"/>
      <c r="V256" s="22944"/>
      <c r="W256" s="22944"/>
      <c r="X256" s="22944"/>
      <c r="Y256" s="22944"/>
      <c r="Z256" s="22944"/>
      <c r="AA256" s="22944"/>
      <c r="AB256" s="22944"/>
      <c r="AC256" s="22944"/>
      <c r="AD256" s="22944"/>
      <c r="AE256" s="22944"/>
      <c r="AF256" s="22944"/>
      <c r="AG256" s="22944"/>
      <c r="AH256" s="22944">
        <v>0</v>
      </c>
    </row>
    <row s="62286" customFormat="1" customHeight="1" ht="18.75">
      <c r="A257" s="2472"/>
      <c r="B257" s="2472"/>
      <c r="C257" s="1061" t="s">
        <v>1219</v>
      </c>
      <c r="D257" s="3154"/>
      <c r="E257" s="2896"/>
      <c r="F257" s="3075"/>
      <c r="G257" s="3119"/>
      <c r="H257" s="2192"/>
      <c r="I257" s="1343" t="s">
        <v>1218</v>
      </c>
      <c r="J257" s="1263"/>
      <c r="K257" s="2192"/>
      <c r="L257" s="906"/>
      <c r="M257" s="2862"/>
      <c r="N257" s="1026"/>
      <c r="O257" s="2316"/>
      <c r="P257" s="2316"/>
      <c r="AH257" s="2323">
        <v>0</v>
      </c>
    </row>
    <row s="62286" customFormat="1" customHeight="1" ht="18.75">
      <c r="A258" s="23333" t="s">
        <v>166</v>
      </c>
      <c r="B258" s="23333" t="s">
        <v>176</v>
      </c>
      <c r="C258" s="26822"/>
      <c r="D258" s="26823"/>
      <c r="E258" s="26824"/>
      <c r="F258" s="26824"/>
      <c r="G258" s="26825" t="str">
        <f>INDEX(PT_DIFFERENTIATION_NTAR,MATCH(B258,PT_DIFFERENTIATION_NTAR_ID,0))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258" s="23206"/>
      <c r="I258" s="26819">
        <v>45292</v>
      </c>
      <c r="J258" s="26820">
        <v>45657</v>
      </c>
      <c r="K258" s="26910">
        <v>838.34</v>
      </c>
      <c r="L258" s="23206" t="s">
        <v>381</v>
      </c>
      <c r="M258" s="26827"/>
      <c r="N258" s="26828"/>
      <c r="O258" s="23339"/>
      <c r="P258" s="23339"/>
      <c r="Q258" s="22944"/>
      <c r="R258" s="22944"/>
      <c r="S258" s="22944"/>
      <c r="T258" s="22944"/>
      <c r="U258" s="22944"/>
      <c r="V258" s="22944"/>
      <c r="W258" s="22944"/>
      <c r="X258" s="22944"/>
      <c r="Y258" s="22944"/>
      <c r="Z258" s="22944"/>
      <c r="AA258" s="22944"/>
      <c r="AB258" s="22944"/>
      <c r="AC258" s="22944"/>
      <c r="AD258" s="22944"/>
      <c r="AE258" s="22944"/>
      <c r="AF258" s="22944"/>
      <c r="AG258" s="22944"/>
      <c r="AH258" s="22944">
        <v>0</v>
      </c>
    </row>
    <row s="62286" customFormat="1" customHeight="1" ht="56.25">
      <c r="A259" s="23333"/>
      <c r="B259" s="23333"/>
      <c r="C259" s="26822"/>
      <c r="D259" s="26823"/>
      <c r="E259" s="26824"/>
      <c r="F259" s="26824"/>
      <c r="G259" s="26824"/>
      <c r="H259" s="23204" t="s">
        <v>104</v>
      </c>
      <c r="I259" s="26819">
        <v>45658</v>
      </c>
      <c r="J259" s="26820">
        <v>46022</v>
      </c>
      <c r="K259" s="26910">
        <v>848.52</v>
      </c>
      <c r="L259" s="23206" t="s">
        <v>381</v>
      </c>
      <c r="M259" s="26827"/>
      <c r="N259" s="26828"/>
      <c r="O259" s="23339"/>
      <c r="P259" s="23339"/>
      <c r="Q259" s="22944"/>
      <c r="R259" s="22944"/>
      <c r="S259" s="22944"/>
      <c r="T259" s="22944"/>
      <c r="U259" s="22944"/>
      <c r="V259" s="22944"/>
      <c r="W259" s="22944"/>
      <c r="X259" s="22944"/>
      <c r="Y259" s="22944"/>
      <c r="Z259" s="22944"/>
      <c r="AA259" s="22944"/>
      <c r="AB259" s="22944"/>
      <c r="AC259" s="22944"/>
      <c r="AD259" s="22944"/>
      <c r="AE259" s="22944"/>
      <c r="AF259" s="22944"/>
      <c r="AG259" s="22944"/>
      <c r="AH259" s="22944">
        <v>0</v>
      </c>
    </row>
    <row s="62286" customFormat="1" customHeight="1" ht="56.25">
      <c r="A260" s="23333"/>
      <c r="B260" s="23333"/>
      <c r="C260" s="26822"/>
      <c r="D260" s="26823"/>
      <c r="E260" s="26824"/>
      <c r="F260" s="26824"/>
      <c r="G260" s="26824"/>
      <c r="H260" s="23204" t="s">
        <v>104</v>
      </c>
      <c r="I260" s="26819">
        <v>46023</v>
      </c>
      <c r="J260" s="26820">
        <v>46387</v>
      </c>
      <c r="K260" s="26910">
        <v>847.489</v>
      </c>
      <c r="L260" s="23206" t="s">
        <v>381</v>
      </c>
      <c r="M260" s="26827"/>
      <c r="N260" s="26828"/>
      <c r="O260" s="23339"/>
      <c r="P260" s="23339"/>
      <c r="Q260" s="22944"/>
      <c r="R260" s="22944"/>
      <c r="S260" s="22944"/>
      <c r="T260" s="22944"/>
      <c r="U260" s="22944"/>
      <c r="V260" s="22944"/>
      <c r="W260" s="22944"/>
      <c r="X260" s="22944"/>
      <c r="Y260" s="22944"/>
      <c r="Z260" s="22944"/>
      <c r="AA260" s="22944"/>
      <c r="AB260" s="22944"/>
      <c r="AC260" s="22944"/>
      <c r="AD260" s="22944"/>
      <c r="AE260" s="22944"/>
      <c r="AF260" s="22944"/>
      <c r="AG260" s="22944"/>
      <c r="AH260" s="22944">
        <v>0</v>
      </c>
    </row>
    <row s="62286" customFormat="1" customHeight="1" ht="56.25">
      <c r="A261" s="23333"/>
      <c r="B261" s="23333"/>
      <c r="C261" s="26822"/>
      <c r="D261" s="26823"/>
      <c r="E261" s="26824"/>
      <c r="F261" s="26824"/>
      <c r="G261" s="26824"/>
      <c r="H261" s="23204" t="s">
        <v>104</v>
      </c>
      <c r="I261" s="26819">
        <v>46388</v>
      </c>
      <c r="J261" s="26820">
        <v>46752</v>
      </c>
      <c r="K261" s="26910">
        <v>838.34</v>
      </c>
      <c r="L261" s="23206" t="s">
        <v>381</v>
      </c>
      <c r="M261" s="26827"/>
      <c r="N261" s="26828"/>
      <c r="O261" s="23339"/>
      <c r="P261" s="23339"/>
      <c r="Q261" s="22944"/>
      <c r="R261" s="22944"/>
      <c r="S261" s="22944"/>
      <c r="T261" s="22944"/>
      <c r="U261" s="22944"/>
      <c r="V261" s="22944"/>
      <c r="W261" s="22944"/>
      <c r="X261" s="22944"/>
      <c r="Y261" s="22944"/>
      <c r="Z261" s="22944"/>
      <c r="AA261" s="22944"/>
      <c r="AB261" s="22944"/>
      <c r="AC261" s="22944"/>
      <c r="AD261" s="22944"/>
      <c r="AE261" s="22944"/>
      <c r="AF261" s="22944"/>
      <c r="AG261" s="22944"/>
      <c r="AH261" s="22944">
        <v>0</v>
      </c>
    </row>
    <row s="62286" customFormat="1" customHeight="1" ht="56.25">
      <c r="A262" s="23333"/>
      <c r="B262" s="23333"/>
      <c r="C262" s="26822"/>
      <c r="D262" s="26823"/>
      <c r="E262" s="26824"/>
      <c r="F262" s="26824"/>
      <c r="G262" s="26824"/>
      <c r="H262" s="23204" t="s">
        <v>104</v>
      </c>
      <c r="I262" s="26819">
        <v>46753</v>
      </c>
      <c r="J262" s="26820">
        <v>47118</v>
      </c>
      <c r="K262" s="26910">
        <v>838.34</v>
      </c>
      <c r="L262" s="23206" t="s">
        <v>381</v>
      </c>
      <c r="M262" s="26827"/>
      <c r="N262" s="26828"/>
      <c r="O262" s="23339"/>
      <c r="P262" s="23339"/>
      <c r="Q262" s="22944"/>
      <c r="R262" s="22944"/>
      <c r="S262" s="22944"/>
      <c r="T262" s="22944"/>
      <c r="U262" s="22944"/>
      <c r="V262" s="22944"/>
      <c r="W262" s="22944"/>
      <c r="X262" s="22944"/>
      <c r="Y262" s="22944"/>
      <c r="Z262" s="22944"/>
      <c r="AA262" s="22944"/>
      <c r="AB262" s="22944"/>
      <c r="AC262" s="22944"/>
      <c r="AD262" s="22944"/>
      <c r="AE262" s="22944"/>
      <c r="AF262" s="22944"/>
      <c r="AG262" s="22944"/>
      <c r="AH262" s="22944">
        <v>0</v>
      </c>
    </row>
    <row s="62286" customFormat="1" customHeight="1" ht="18.75">
      <c r="A263" s="23333"/>
      <c r="B263" s="23333"/>
      <c r="C263" s="26822" t="s">
        <v>1219</v>
      </c>
      <c r="D263" s="26823"/>
      <c r="E263" s="26824"/>
      <c r="F263" s="26824"/>
      <c r="G263" s="26825"/>
      <c r="H263" s="26970"/>
      <c r="I263" s="26971" t="s">
        <v>1218</v>
      </c>
      <c r="J263" s="26972"/>
      <c r="K263" s="26973"/>
      <c r="L263" s="26974"/>
      <c r="M263" s="26827"/>
      <c r="N263" s="26828"/>
      <c r="O263" s="23339"/>
      <c r="P263" s="23339"/>
      <c r="Q263" s="22944"/>
      <c r="R263" s="22944"/>
      <c r="S263" s="22944"/>
      <c r="T263" s="22944"/>
      <c r="U263" s="22944"/>
      <c r="V263" s="22944"/>
      <c r="W263" s="22944"/>
      <c r="X263" s="22944"/>
      <c r="Y263" s="22944"/>
      <c r="Z263" s="22944"/>
      <c r="AA263" s="22944"/>
      <c r="AB263" s="22944"/>
      <c r="AC263" s="22944"/>
      <c r="AD263" s="22944"/>
      <c r="AE263" s="22944"/>
      <c r="AF263" s="22944"/>
      <c r="AG263" s="22944"/>
      <c r="AH263" s="22944">
        <v>0</v>
      </c>
    </row>
    <row s="62286" customFormat="1" customHeight="1" ht="18.75">
      <c r="A264" s="23333" t="s">
        <v>166</v>
      </c>
      <c r="B264" s="23333" t="s">
        <v>182</v>
      </c>
      <c r="C264" s="26822"/>
      <c r="D264" s="26823"/>
      <c r="E264" s="26824"/>
      <c r="F264" s="26824"/>
      <c r="G264" s="26825" t="str">
        <f>INDEX(PT_DIFFERENTIATION_NTAR,MATCH(B264,PT_DIFFERENTIATION_NTAR_ID,0))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264" s="23206"/>
      <c r="I264" s="26819">
        <v>45292</v>
      </c>
      <c r="J264" s="26820">
        <v>45657</v>
      </c>
      <c r="K264" s="26910">
        <v>205.07</v>
      </c>
      <c r="L264" s="23206" t="s">
        <v>381</v>
      </c>
      <c r="M264" s="26827"/>
      <c r="N264" s="26828"/>
      <c r="O264" s="23339"/>
      <c r="P264" s="23339"/>
      <c r="Q264" s="22944"/>
      <c r="R264" s="22944"/>
      <c r="S264" s="22944"/>
      <c r="T264" s="22944"/>
      <c r="U264" s="22944"/>
      <c r="V264" s="22944"/>
      <c r="W264" s="22944"/>
      <c r="X264" s="22944"/>
      <c r="Y264" s="22944"/>
      <c r="Z264" s="22944"/>
      <c r="AA264" s="22944"/>
      <c r="AB264" s="22944"/>
      <c r="AC264" s="22944"/>
      <c r="AD264" s="22944"/>
      <c r="AE264" s="22944"/>
      <c r="AF264" s="22944"/>
      <c r="AG264" s="22944"/>
      <c r="AH264" s="22944">
        <v>0</v>
      </c>
    </row>
    <row s="62286" customFormat="1" customHeight="1" ht="56.25">
      <c r="A265" s="23333"/>
      <c r="B265" s="23333"/>
      <c r="C265" s="26822"/>
      <c r="D265" s="26823"/>
      <c r="E265" s="26824"/>
      <c r="F265" s="26824"/>
      <c r="G265" s="26824"/>
      <c r="H265" s="23204" t="s">
        <v>104</v>
      </c>
      <c r="I265" s="26819">
        <v>45658</v>
      </c>
      <c r="J265" s="26820">
        <v>46022</v>
      </c>
      <c r="K265" s="26910">
        <v>192.55</v>
      </c>
      <c r="L265" s="23206" t="s">
        <v>381</v>
      </c>
      <c r="M265" s="26827"/>
      <c r="N265" s="26828"/>
      <c r="O265" s="23339"/>
      <c r="P265" s="23339"/>
      <c r="Q265" s="22944"/>
      <c r="R265" s="22944"/>
      <c r="S265" s="22944"/>
      <c r="T265" s="22944"/>
      <c r="U265" s="22944"/>
      <c r="V265" s="22944"/>
      <c r="W265" s="22944"/>
      <c r="X265" s="22944"/>
      <c r="Y265" s="22944"/>
      <c r="Z265" s="22944"/>
      <c r="AA265" s="22944"/>
      <c r="AB265" s="22944"/>
      <c r="AC265" s="22944"/>
      <c r="AD265" s="22944"/>
      <c r="AE265" s="22944"/>
      <c r="AF265" s="22944"/>
      <c r="AG265" s="22944"/>
      <c r="AH265" s="22944">
        <v>0</v>
      </c>
    </row>
    <row s="62286" customFormat="1" customHeight="1" ht="56.25">
      <c r="A266" s="23333"/>
      <c r="B266" s="23333"/>
      <c r="C266" s="26822"/>
      <c r="D266" s="26823"/>
      <c r="E266" s="26824"/>
      <c r="F266" s="26824"/>
      <c r="G266" s="26824"/>
      <c r="H266" s="23204" t="s">
        <v>104</v>
      </c>
      <c r="I266" s="26819">
        <v>46023</v>
      </c>
      <c r="J266" s="26820">
        <v>46387</v>
      </c>
      <c r="K266" s="26910">
        <v>176.291</v>
      </c>
      <c r="L266" s="23206" t="s">
        <v>381</v>
      </c>
      <c r="M266" s="26827"/>
      <c r="N266" s="26828"/>
      <c r="O266" s="23339"/>
      <c r="P266" s="23339"/>
      <c r="Q266" s="22944"/>
      <c r="R266" s="22944"/>
      <c r="S266" s="22944"/>
      <c r="T266" s="22944"/>
      <c r="U266" s="22944"/>
      <c r="V266" s="22944"/>
      <c r="W266" s="22944"/>
      <c r="X266" s="22944"/>
      <c r="Y266" s="22944"/>
      <c r="Z266" s="22944"/>
      <c r="AA266" s="22944"/>
      <c r="AB266" s="22944"/>
      <c r="AC266" s="22944"/>
      <c r="AD266" s="22944"/>
      <c r="AE266" s="22944"/>
      <c r="AF266" s="22944"/>
      <c r="AG266" s="22944"/>
      <c r="AH266" s="22944">
        <v>0</v>
      </c>
    </row>
    <row s="62286" customFormat="1" customHeight="1" ht="56.25">
      <c r="A267" s="23333"/>
      <c r="B267" s="23333"/>
      <c r="C267" s="26822"/>
      <c r="D267" s="26823"/>
      <c r="E267" s="26824"/>
      <c r="F267" s="26824"/>
      <c r="G267" s="26824"/>
      <c r="H267" s="23204" t="s">
        <v>104</v>
      </c>
      <c r="I267" s="26819">
        <v>46388</v>
      </c>
      <c r="J267" s="26820">
        <v>46752</v>
      </c>
      <c r="K267" s="26910">
        <v>205.07</v>
      </c>
      <c r="L267" s="23206" t="s">
        <v>381</v>
      </c>
      <c r="M267" s="26827"/>
      <c r="N267" s="26828"/>
      <c r="O267" s="23339"/>
      <c r="P267" s="23339"/>
      <c r="Q267" s="22944"/>
      <c r="R267" s="22944"/>
      <c r="S267" s="22944"/>
      <c r="T267" s="22944"/>
      <c r="U267" s="22944"/>
      <c r="V267" s="22944"/>
      <c r="W267" s="22944"/>
      <c r="X267" s="22944"/>
      <c r="Y267" s="22944"/>
      <c r="Z267" s="22944"/>
      <c r="AA267" s="22944"/>
      <c r="AB267" s="22944"/>
      <c r="AC267" s="22944"/>
      <c r="AD267" s="22944"/>
      <c r="AE267" s="22944"/>
      <c r="AF267" s="22944"/>
      <c r="AG267" s="22944"/>
      <c r="AH267" s="22944">
        <v>0</v>
      </c>
    </row>
    <row s="62286" customFormat="1" customHeight="1" ht="56.25">
      <c r="A268" s="23333"/>
      <c r="B268" s="23333"/>
      <c r="C268" s="26822"/>
      <c r="D268" s="26823"/>
      <c r="E268" s="26824"/>
      <c r="F268" s="26824"/>
      <c r="G268" s="26824"/>
      <c r="H268" s="23204" t="s">
        <v>104</v>
      </c>
      <c r="I268" s="26819">
        <v>46753</v>
      </c>
      <c r="J268" s="26820">
        <v>47118</v>
      </c>
      <c r="K268" s="26910">
        <v>205.07</v>
      </c>
      <c r="L268" s="23206" t="s">
        <v>381</v>
      </c>
      <c r="M268" s="26827"/>
      <c r="N268" s="26828"/>
      <c r="O268" s="23339"/>
      <c r="P268" s="23339"/>
      <c r="Q268" s="22944"/>
      <c r="R268" s="22944"/>
      <c r="S268" s="22944"/>
      <c r="T268" s="22944"/>
      <c r="U268" s="22944"/>
      <c r="V268" s="22944"/>
      <c r="W268" s="22944"/>
      <c r="X268" s="22944"/>
      <c r="Y268" s="22944"/>
      <c r="Z268" s="22944"/>
      <c r="AA268" s="22944"/>
      <c r="AB268" s="22944"/>
      <c r="AC268" s="22944"/>
      <c r="AD268" s="22944"/>
      <c r="AE268" s="22944"/>
      <c r="AF268" s="22944"/>
      <c r="AG268" s="22944"/>
      <c r="AH268" s="22944">
        <v>0</v>
      </c>
    </row>
    <row s="62286" customFormat="1" customHeight="1" ht="18.75">
      <c r="A269" s="23333"/>
      <c r="B269" s="23333"/>
      <c r="C269" s="26822" t="s">
        <v>1219</v>
      </c>
      <c r="D269" s="26823"/>
      <c r="E269" s="26824"/>
      <c r="F269" s="26824"/>
      <c r="G269" s="26825"/>
      <c r="H269" s="26975"/>
      <c r="I269" s="26976" t="s">
        <v>1218</v>
      </c>
      <c r="J269" s="26977"/>
      <c r="K269" s="26978"/>
      <c r="L269" s="26979"/>
      <c r="M269" s="26827"/>
      <c r="N269" s="26828"/>
      <c r="O269" s="23339"/>
      <c r="P269" s="23339"/>
      <c r="Q269" s="22944"/>
      <c r="R269" s="22944"/>
      <c r="S269" s="22944"/>
      <c r="T269" s="22944"/>
      <c r="U269" s="22944"/>
      <c r="V269" s="22944"/>
      <c r="W269" s="22944"/>
      <c r="X269" s="22944"/>
      <c r="Y269" s="22944"/>
      <c r="Z269" s="22944"/>
      <c r="AA269" s="22944"/>
      <c r="AB269" s="22944"/>
      <c r="AC269" s="22944"/>
      <c r="AD269" s="22944"/>
      <c r="AE269" s="22944"/>
      <c r="AF269" s="22944"/>
      <c r="AG269" s="22944"/>
      <c r="AH269" s="22944">
        <v>0</v>
      </c>
    </row>
    <row s="62286" customFormat="1" customHeight="1" ht="0.75">
      <c r="A270" s="2472"/>
      <c r="B270" s="2472"/>
      <c r="C270" s="1061" t="s">
        <v>1228</v>
      </c>
      <c r="D270" s="3154"/>
      <c r="E270" s="2896"/>
      <c r="F270" s="3075"/>
      <c r="G270" s="1092"/>
      <c r="H270" s="2192"/>
      <c r="I270" s="1343"/>
      <c r="J270" s="1263"/>
      <c r="K270" s="2192"/>
      <c r="L270" s="906"/>
      <c r="M270" s="2862"/>
      <c r="N270" s="1026"/>
      <c r="O270" s="2316"/>
      <c r="P270" s="2316"/>
      <c r="AH270" s="2323">
        <v>0</v>
      </c>
    </row>
    <row s="62286" customFormat="1" customHeight="1" ht="45">
      <c r="A271" s="2472" t="s">
        <v>190</v>
      </c>
      <c r="B271" s="2472" t="s">
        <v>191</v>
      </c>
      <c r="C271" s="1061"/>
      <c r="D271" s="3154"/>
      <c r="E271" s="2896"/>
      <c r="F271" s="3075" t="str">
        <f>INDEX(PT_DIFFERENTIATION_VTAR,MATCH(A271,PT_DIFFERENTIATION_VTAR_ID,0))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1" s="3119" t="str">
        <f>INDEX(PT_DIFFERENTIATION_NTAR,MATCH(B271,PT_DIFFERENTIATION_NTAR_ID,0))</f>
        <v>Тариф на тепловую энергию, поставляемую потребителям АО "ДГК" на территории Артемовского городского округа Приморского края</v>
      </c>
      <c r="H271" s="2554"/>
      <c r="I271" s="26819">
        <v>45292</v>
      </c>
      <c r="J271" s="2465">
        <v>45657</v>
      </c>
      <c r="K271" s="2470">
        <v>379.57</v>
      </c>
      <c r="L271" s="2554" t="s">
        <v>381</v>
      </c>
      <c r="M271" s="2863"/>
      <c r="N271" s="1026"/>
      <c r="O271" s="2316"/>
      <c r="P271" s="2316"/>
      <c r="AH271" s="2323">
        <v>0</v>
      </c>
    </row>
    <row s="62286" customFormat="1" customHeight="1" ht="56.25">
      <c r="A272" s="23333"/>
      <c r="B272" s="23333"/>
      <c r="C272" s="26822"/>
      <c r="D272" s="26823"/>
      <c r="E272" s="26824"/>
      <c r="F272" s="26824"/>
      <c r="G272" s="26824"/>
      <c r="H272" s="23204" t="s">
        <v>104</v>
      </c>
      <c r="I272" s="26819">
        <v>45658</v>
      </c>
      <c r="J272" s="26820">
        <v>46022</v>
      </c>
      <c r="K272" s="26910">
        <v>367.26</v>
      </c>
      <c r="L272" s="23206" t="s">
        <v>381</v>
      </c>
      <c r="M272" s="26827"/>
      <c r="N272" s="26828"/>
      <c r="O272" s="23339"/>
      <c r="P272" s="23339"/>
      <c r="Q272" s="22944"/>
      <c r="R272" s="22944"/>
      <c r="S272" s="22944"/>
      <c r="T272" s="22944"/>
      <c r="U272" s="22944"/>
      <c r="V272" s="22944"/>
      <c r="W272" s="22944"/>
      <c r="X272" s="22944"/>
      <c r="Y272" s="22944"/>
      <c r="Z272" s="22944"/>
      <c r="AA272" s="22944"/>
      <c r="AB272" s="22944"/>
      <c r="AC272" s="22944"/>
      <c r="AD272" s="22944"/>
      <c r="AE272" s="22944"/>
      <c r="AF272" s="22944"/>
      <c r="AG272" s="22944"/>
      <c r="AH272" s="22944">
        <v>0</v>
      </c>
    </row>
    <row s="62286" customFormat="1" customHeight="1" ht="56.25">
      <c r="A273" s="23333"/>
      <c r="B273" s="23333"/>
      <c r="C273" s="26822"/>
      <c r="D273" s="26823"/>
      <c r="E273" s="26824"/>
      <c r="F273" s="26824"/>
      <c r="G273" s="26824"/>
      <c r="H273" s="23204" t="s">
        <v>104</v>
      </c>
      <c r="I273" s="26819">
        <v>46023</v>
      </c>
      <c r="J273" s="62344">
        <v>46387</v>
      </c>
      <c r="K273" s="26910">
        <v>386.339</v>
      </c>
      <c r="L273" s="23206" t="s">
        <v>381</v>
      </c>
      <c r="M273" s="26827"/>
      <c r="N273" s="26828"/>
      <c r="O273" s="23339"/>
      <c r="P273" s="23339"/>
      <c r="Q273" s="22944"/>
      <c r="R273" s="22944"/>
      <c r="S273" s="22944"/>
      <c r="T273" s="22944"/>
      <c r="U273" s="22944"/>
      <c r="V273" s="22944"/>
      <c r="W273" s="22944"/>
      <c r="X273" s="22944"/>
      <c r="Y273" s="22944"/>
      <c r="Z273" s="22944"/>
      <c r="AA273" s="22944"/>
      <c r="AB273" s="22944"/>
      <c r="AC273" s="22944"/>
      <c r="AD273" s="22944"/>
      <c r="AE273" s="22944"/>
      <c r="AF273" s="22944"/>
      <c r="AG273" s="22944"/>
      <c r="AH273" s="22944">
        <v>0</v>
      </c>
    </row>
    <row s="62286" customFormat="1" customHeight="1" ht="56.25">
      <c r="A274" s="23333"/>
      <c r="B274" s="23333"/>
      <c r="C274" s="26822"/>
      <c r="D274" s="26823"/>
      <c r="E274" s="26824"/>
      <c r="F274" s="26824"/>
      <c r="G274" s="26824"/>
      <c r="H274" s="23204" t="s">
        <v>104</v>
      </c>
      <c r="I274" s="26819">
        <v>46388</v>
      </c>
      <c r="J274" s="26820">
        <v>46752</v>
      </c>
      <c r="K274" s="26910">
        <v>379.57</v>
      </c>
      <c r="L274" s="23206" t="s">
        <v>381</v>
      </c>
      <c r="M274" s="26827"/>
      <c r="N274" s="26828"/>
      <c r="O274" s="23339"/>
      <c r="P274" s="23339"/>
      <c r="Q274" s="22944"/>
      <c r="R274" s="22944"/>
      <c r="S274" s="22944"/>
      <c r="T274" s="22944"/>
      <c r="U274" s="22944"/>
      <c r="V274" s="22944"/>
      <c r="W274" s="22944"/>
      <c r="X274" s="22944"/>
      <c r="Y274" s="22944"/>
      <c r="Z274" s="22944"/>
      <c r="AA274" s="22944"/>
      <c r="AB274" s="22944"/>
      <c r="AC274" s="22944"/>
      <c r="AD274" s="22944"/>
      <c r="AE274" s="22944"/>
      <c r="AF274" s="22944"/>
      <c r="AG274" s="22944"/>
      <c r="AH274" s="22944">
        <v>0</v>
      </c>
    </row>
    <row s="62286" customFormat="1" customHeight="1" ht="56.25">
      <c r="A275" s="23333"/>
      <c r="B275" s="23333"/>
      <c r="C275" s="26822"/>
      <c r="D275" s="26823"/>
      <c r="E275" s="26824"/>
      <c r="F275" s="26824"/>
      <c r="G275" s="26824"/>
      <c r="H275" s="23204" t="s">
        <v>104</v>
      </c>
      <c r="I275" s="26819">
        <v>46753</v>
      </c>
      <c r="J275" s="26820">
        <v>47118</v>
      </c>
      <c r="K275" s="26910">
        <v>379.57</v>
      </c>
      <c r="L275" s="23206" t="s">
        <v>381</v>
      </c>
      <c r="M275" s="26827"/>
      <c r="N275" s="26828"/>
      <c r="O275" s="23339"/>
      <c r="P275" s="23339"/>
      <c r="Q275" s="22944"/>
      <c r="R275" s="22944"/>
      <c r="S275" s="22944"/>
      <c r="T275" s="22944"/>
      <c r="U275" s="22944"/>
      <c r="V275" s="22944"/>
      <c r="W275" s="22944"/>
      <c r="X275" s="22944"/>
      <c r="Y275" s="22944"/>
      <c r="Z275" s="22944"/>
      <c r="AA275" s="22944"/>
      <c r="AB275" s="22944"/>
      <c r="AC275" s="22944"/>
      <c r="AD275" s="22944"/>
      <c r="AE275" s="22944"/>
      <c r="AF275" s="22944"/>
      <c r="AG275" s="22944"/>
      <c r="AH275" s="22944">
        <v>0</v>
      </c>
    </row>
    <row s="62286" customFormat="1" customHeight="1" ht="18.75">
      <c r="A276" s="2472"/>
      <c r="B276" s="2472"/>
      <c r="C276" s="1061" t="s">
        <v>1219</v>
      </c>
      <c r="D276" s="3154"/>
      <c r="E276" s="2896"/>
      <c r="F276" s="3075"/>
      <c r="G276" s="3119"/>
      <c r="H276" s="2192"/>
      <c r="I276" s="1343" t="s">
        <v>1218</v>
      </c>
      <c r="J276" s="1263"/>
      <c r="K276" s="2192"/>
      <c r="L276" s="906"/>
      <c r="M276" s="2553"/>
      <c r="N276" s="1026"/>
      <c r="O276" s="2316"/>
      <c r="P276" s="2316"/>
      <c r="AH276" s="2323">
        <v>0</v>
      </c>
    </row>
    <row s="62286" customFormat="1" customHeight="1" ht="18.75">
      <c r="A277" s="23333" t="s">
        <v>190</v>
      </c>
      <c r="B277" s="23333" t="s">
        <v>196</v>
      </c>
      <c r="C277" s="26822"/>
      <c r="D277" s="26823"/>
      <c r="E277" s="26824"/>
      <c r="F277" s="26824"/>
      <c r="G277" s="26825" t="str">
        <f>INDEX(PT_DIFFERENTIATION_NTAR,MATCH(B277,PT_DIFFERENTIATION_NTAR_ID,0))</f>
        <v>Тариф на тепловую энергию, поставляемую потребителям АО "ДГК" на территории Владивостокского городского округа Приморского края</v>
      </c>
      <c r="H277" s="23206"/>
      <c r="I277" s="26819">
        <v>45292</v>
      </c>
      <c r="J277" s="26820">
        <v>45657</v>
      </c>
      <c r="K277" s="26910">
        <v>2840.68</v>
      </c>
      <c r="L277" s="23206" t="s">
        <v>381</v>
      </c>
      <c r="M277" s="26827"/>
      <c r="N277" s="26828"/>
      <c r="O277" s="23339"/>
      <c r="P277" s="23339"/>
      <c r="Q277" s="22944"/>
      <c r="R277" s="22944"/>
      <c r="S277" s="22944"/>
      <c r="T277" s="22944"/>
      <c r="U277" s="22944"/>
      <c r="V277" s="22944"/>
      <c r="W277" s="22944"/>
      <c r="X277" s="22944"/>
      <c r="Y277" s="22944"/>
      <c r="Z277" s="22944"/>
      <c r="AA277" s="22944"/>
      <c r="AB277" s="22944"/>
      <c r="AC277" s="22944"/>
      <c r="AD277" s="22944"/>
      <c r="AE277" s="22944"/>
      <c r="AF277" s="22944"/>
      <c r="AG277" s="22944"/>
      <c r="AH277" s="22944">
        <v>0</v>
      </c>
    </row>
    <row s="62286" customFormat="1" customHeight="1" ht="56.25">
      <c r="A278" s="23333"/>
      <c r="B278" s="23333"/>
      <c r="C278" s="26822"/>
      <c r="D278" s="26823"/>
      <c r="E278" s="26824"/>
      <c r="F278" s="26824"/>
      <c r="G278" s="26824"/>
      <c r="H278" s="23204" t="s">
        <v>104</v>
      </c>
      <c r="I278" s="26819">
        <v>45658</v>
      </c>
      <c r="J278" s="26820">
        <v>46022</v>
      </c>
      <c r="K278" s="26910">
        <v>2956.89</v>
      </c>
      <c r="L278" s="23206" t="s">
        <v>381</v>
      </c>
      <c r="M278" s="26827"/>
      <c r="N278" s="26828"/>
      <c r="O278" s="23339"/>
      <c r="P278" s="23339"/>
      <c r="Q278" s="22944"/>
      <c r="R278" s="22944"/>
      <c r="S278" s="22944"/>
      <c r="T278" s="22944"/>
      <c r="U278" s="22944"/>
      <c r="V278" s="22944"/>
      <c r="W278" s="22944"/>
      <c r="X278" s="22944"/>
      <c r="Y278" s="22944"/>
      <c r="Z278" s="22944"/>
      <c r="AA278" s="22944"/>
      <c r="AB278" s="22944"/>
      <c r="AC278" s="22944"/>
      <c r="AD278" s="22944"/>
      <c r="AE278" s="22944"/>
      <c r="AF278" s="22944"/>
      <c r="AG278" s="22944"/>
      <c r="AH278" s="22944">
        <v>0</v>
      </c>
    </row>
    <row s="62286" customFormat="1" customHeight="1" ht="56.25">
      <c r="A279" s="23333"/>
      <c r="B279" s="23333"/>
      <c r="C279" s="26822"/>
      <c r="D279" s="26823"/>
      <c r="E279" s="26824"/>
      <c r="F279" s="26824"/>
      <c r="G279" s="26824"/>
      <c r="H279" s="23204" t="s">
        <v>104</v>
      </c>
      <c r="I279" s="26819">
        <v>46023</v>
      </c>
      <c r="J279" s="26820">
        <v>46387</v>
      </c>
      <c r="K279" s="26910">
        <v>2823.769</v>
      </c>
      <c r="L279" s="23206" t="s">
        <v>381</v>
      </c>
      <c r="M279" s="26827"/>
      <c r="N279" s="26828"/>
      <c r="O279" s="23339"/>
      <c r="P279" s="23339"/>
      <c r="Q279" s="22944"/>
      <c r="R279" s="22944"/>
      <c r="S279" s="22944"/>
      <c r="T279" s="22944"/>
      <c r="U279" s="22944"/>
      <c r="V279" s="22944"/>
      <c r="W279" s="22944"/>
      <c r="X279" s="22944"/>
      <c r="Y279" s="22944"/>
      <c r="Z279" s="22944"/>
      <c r="AA279" s="22944"/>
      <c r="AB279" s="22944"/>
      <c r="AC279" s="22944"/>
      <c r="AD279" s="22944"/>
      <c r="AE279" s="22944"/>
      <c r="AF279" s="22944"/>
      <c r="AG279" s="22944"/>
      <c r="AH279" s="22944">
        <v>0</v>
      </c>
    </row>
    <row s="62286" customFormat="1" customHeight="1" ht="56.25">
      <c r="A280" s="23333"/>
      <c r="B280" s="23333"/>
      <c r="C280" s="26822"/>
      <c r="D280" s="26823"/>
      <c r="E280" s="26824"/>
      <c r="F280" s="26824"/>
      <c r="G280" s="26824"/>
      <c r="H280" s="23204" t="s">
        <v>104</v>
      </c>
      <c r="I280" s="26819">
        <v>46388</v>
      </c>
      <c r="J280" s="26820">
        <v>46752</v>
      </c>
      <c r="K280" s="26910">
        <v>2839.16</v>
      </c>
      <c r="L280" s="23206" t="s">
        <v>381</v>
      </c>
      <c r="M280" s="26827"/>
      <c r="N280" s="26828"/>
      <c r="O280" s="23339"/>
      <c r="P280" s="23339"/>
      <c r="Q280" s="22944"/>
      <c r="R280" s="22944"/>
      <c r="S280" s="22944"/>
      <c r="T280" s="22944"/>
      <c r="U280" s="22944"/>
      <c r="V280" s="22944"/>
      <c r="W280" s="22944"/>
      <c r="X280" s="22944"/>
      <c r="Y280" s="22944"/>
      <c r="Z280" s="22944"/>
      <c r="AA280" s="22944"/>
      <c r="AB280" s="22944"/>
      <c r="AC280" s="22944"/>
      <c r="AD280" s="22944"/>
      <c r="AE280" s="22944"/>
      <c r="AF280" s="22944"/>
      <c r="AG280" s="22944"/>
      <c r="AH280" s="22944">
        <v>0</v>
      </c>
    </row>
    <row s="62286" customFormat="1" customHeight="1" ht="56.25">
      <c r="A281" s="23333"/>
      <c r="B281" s="23333"/>
      <c r="C281" s="26822"/>
      <c r="D281" s="26823"/>
      <c r="E281" s="26824"/>
      <c r="F281" s="26824"/>
      <c r="G281" s="26824"/>
      <c r="H281" s="23204" t="s">
        <v>104</v>
      </c>
      <c r="I281" s="26819">
        <v>46753</v>
      </c>
      <c r="J281" s="26820">
        <v>47118</v>
      </c>
      <c r="K281" s="26910">
        <v>2839.16</v>
      </c>
      <c r="L281" s="23206" t="s">
        <v>381</v>
      </c>
      <c r="M281" s="26827"/>
      <c r="N281" s="26828"/>
      <c r="O281" s="23339"/>
      <c r="P281" s="23339"/>
      <c r="Q281" s="22944"/>
      <c r="R281" s="22944"/>
      <c r="S281" s="22944"/>
      <c r="T281" s="22944"/>
      <c r="U281" s="22944"/>
      <c r="V281" s="22944"/>
      <c r="W281" s="22944"/>
      <c r="X281" s="22944"/>
      <c r="Y281" s="22944"/>
      <c r="Z281" s="22944"/>
      <c r="AA281" s="22944"/>
      <c r="AB281" s="22944"/>
      <c r="AC281" s="22944"/>
      <c r="AD281" s="22944"/>
      <c r="AE281" s="22944"/>
      <c r="AF281" s="22944"/>
      <c r="AG281" s="22944"/>
      <c r="AH281" s="22944">
        <v>0</v>
      </c>
    </row>
    <row s="62286" customFormat="1" customHeight="1" ht="18.75">
      <c r="A282" s="23333"/>
      <c r="B282" s="23333"/>
      <c r="C282" s="26822" t="s">
        <v>1219</v>
      </c>
      <c r="D282" s="26823"/>
      <c r="E282" s="26824"/>
      <c r="F282" s="26824"/>
      <c r="G282" s="26825"/>
      <c r="H282" s="26980"/>
      <c r="I282" s="26981" t="s">
        <v>1218</v>
      </c>
      <c r="J282" s="26982"/>
      <c r="K282" s="26983"/>
      <c r="L282" s="26984"/>
      <c r="M282" s="26827"/>
      <c r="N282" s="26828"/>
      <c r="O282" s="23339"/>
      <c r="P282" s="23339"/>
      <c r="Q282" s="22944"/>
      <c r="R282" s="22944"/>
      <c r="S282" s="22944"/>
      <c r="T282" s="22944"/>
      <c r="U282" s="22944"/>
      <c r="V282" s="22944"/>
      <c r="W282" s="22944"/>
      <c r="X282" s="22944"/>
      <c r="Y282" s="22944"/>
      <c r="Z282" s="22944"/>
      <c r="AA282" s="22944"/>
      <c r="AB282" s="22944"/>
      <c r="AC282" s="22944"/>
      <c r="AD282" s="22944"/>
      <c r="AE282" s="22944"/>
      <c r="AF282" s="22944"/>
      <c r="AG282" s="22944"/>
      <c r="AH282" s="22944">
        <v>0</v>
      </c>
    </row>
    <row s="62286" customFormat="1" customHeight="1" ht="18.75">
      <c r="A283" s="23333" t="s">
        <v>190</v>
      </c>
      <c r="B283" s="23333" t="s">
        <v>201</v>
      </c>
      <c r="C283" s="26822"/>
      <c r="D283" s="26823"/>
      <c r="E283" s="26824"/>
      <c r="F283" s="26824"/>
      <c r="G283" s="26825" t="str">
        <f>INDEX(PT_DIFFERENTIATION_NTAR,MATCH(B283,PT_DIFFERENTIATION_NTAR_ID,0))</f>
        <v>Тариф на тепловую энергию, поставляемую потребителям АО "ДГК" на территории Партизанского городского округа Приморского края</v>
      </c>
      <c r="H283" s="23206"/>
      <c r="I283" s="26819">
        <v>45292</v>
      </c>
      <c r="J283" s="26820">
        <v>45657</v>
      </c>
      <c r="K283" s="26910">
        <v>83.42</v>
      </c>
      <c r="L283" s="23206" t="s">
        <v>381</v>
      </c>
      <c r="M283" s="26827"/>
      <c r="N283" s="26828"/>
      <c r="O283" s="23339"/>
      <c r="P283" s="23339"/>
      <c r="Q283" s="22944"/>
      <c r="R283" s="22944"/>
      <c r="S283" s="22944"/>
      <c r="T283" s="22944"/>
      <c r="U283" s="22944"/>
      <c r="V283" s="22944"/>
      <c r="W283" s="22944"/>
      <c r="X283" s="22944"/>
      <c r="Y283" s="22944"/>
      <c r="Z283" s="22944"/>
      <c r="AA283" s="22944"/>
      <c r="AB283" s="22944"/>
      <c r="AC283" s="22944"/>
      <c r="AD283" s="22944"/>
      <c r="AE283" s="22944"/>
      <c r="AF283" s="22944"/>
      <c r="AG283" s="22944"/>
      <c r="AH283" s="22944">
        <v>0</v>
      </c>
    </row>
    <row s="62286" customFormat="1" customHeight="1" ht="56.25">
      <c r="A284" s="23333"/>
      <c r="B284" s="23333"/>
      <c r="C284" s="26822"/>
      <c r="D284" s="26823"/>
      <c r="E284" s="26824"/>
      <c r="F284" s="26824"/>
      <c r="G284" s="26824"/>
      <c r="H284" s="23204" t="s">
        <v>104</v>
      </c>
      <c r="I284" s="26819">
        <v>45658</v>
      </c>
      <c r="J284" s="26820">
        <v>46022</v>
      </c>
      <c r="K284" s="26910">
        <v>82.99</v>
      </c>
      <c r="L284" s="23206" t="s">
        <v>381</v>
      </c>
      <c r="M284" s="26827"/>
      <c r="N284" s="26828"/>
      <c r="O284" s="23339"/>
      <c r="P284" s="23339"/>
      <c r="Q284" s="22944"/>
      <c r="R284" s="22944"/>
      <c r="S284" s="22944"/>
      <c r="T284" s="22944"/>
      <c r="U284" s="22944"/>
      <c r="V284" s="22944"/>
      <c r="W284" s="22944"/>
      <c r="X284" s="22944"/>
      <c r="Y284" s="22944"/>
      <c r="Z284" s="22944"/>
      <c r="AA284" s="22944"/>
      <c r="AB284" s="22944"/>
      <c r="AC284" s="22944"/>
      <c r="AD284" s="22944"/>
      <c r="AE284" s="22944"/>
      <c r="AF284" s="22944"/>
      <c r="AG284" s="22944"/>
      <c r="AH284" s="22944">
        <v>0</v>
      </c>
    </row>
    <row s="62286" customFormat="1" customHeight="1" ht="56.25">
      <c r="A285" s="23333"/>
      <c r="B285" s="23333"/>
      <c r="C285" s="26822"/>
      <c r="D285" s="26823"/>
      <c r="E285" s="26824"/>
      <c r="F285" s="26824"/>
      <c r="G285" s="26824"/>
      <c r="H285" s="23204" t="s">
        <v>104</v>
      </c>
      <c r="I285" s="26819">
        <v>46023</v>
      </c>
      <c r="J285" s="26820">
        <v>46387</v>
      </c>
      <c r="K285" s="26910">
        <v>81.765</v>
      </c>
      <c r="L285" s="23206" t="s">
        <v>381</v>
      </c>
      <c r="M285" s="26827"/>
      <c r="N285" s="26828"/>
      <c r="O285" s="23339"/>
      <c r="P285" s="23339"/>
      <c r="Q285" s="22944"/>
      <c r="R285" s="22944"/>
      <c r="S285" s="22944"/>
      <c r="T285" s="22944"/>
      <c r="U285" s="22944"/>
      <c r="V285" s="22944"/>
      <c r="W285" s="22944"/>
      <c r="X285" s="22944"/>
      <c r="Y285" s="22944"/>
      <c r="Z285" s="22944"/>
      <c r="AA285" s="22944"/>
      <c r="AB285" s="22944"/>
      <c r="AC285" s="22944"/>
      <c r="AD285" s="22944"/>
      <c r="AE285" s="22944"/>
      <c r="AF285" s="22944"/>
      <c r="AG285" s="22944"/>
      <c r="AH285" s="22944">
        <v>0</v>
      </c>
    </row>
    <row s="62286" customFormat="1" customHeight="1" ht="56.25">
      <c r="A286" s="23333"/>
      <c r="B286" s="23333"/>
      <c r="C286" s="26822"/>
      <c r="D286" s="26823"/>
      <c r="E286" s="26824"/>
      <c r="F286" s="26824"/>
      <c r="G286" s="26824"/>
      <c r="H286" s="23204" t="s">
        <v>104</v>
      </c>
      <c r="I286" s="26819">
        <v>46388</v>
      </c>
      <c r="J286" s="26820">
        <v>46752</v>
      </c>
      <c r="K286" s="26910">
        <v>83.42</v>
      </c>
      <c r="L286" s="23206" t="s">
        <v>381</v>
      </c>
      <c r="M286" s="26827"/>
      <c r="N286" s="26828"/>
      <c r="O286" s="23339"/>
      <c r="P286" s="23339"/>
      <c r="Q286" s="22944"/>
      <c r="R286" s="22944"/>
      <c r="S286" s="22944"/>
      <c r="T286" s="22944"/>
      <c r="U286" s="22944"/>
      <c r="V286" s="22944"/>
      <c r="W286" s="22944"/>
      <c r="X286" s="22944"/>
      <c r="Y286" s="22944"/>
      <c r="Z286" s="22944"/>
      <c r="AA286" s="22944"/>
      <c r="AB286" s="22944"/>
      <c r="AC286" s="22944"/>
      <c r="AD286" s="22944"/>
      <c r="AE286" s="22944"/>
      <c r="AF286" s="22944"/>
      <c r="AG286" s="22944"/>
      <c r="AH286" s="22944">
        <v>0</v>
      </c>
    </row>
    <row s="62286" customFormat="1" customHeight="1" ht="56.25">
      <c r="A287" s="23333"/>
      <c r="B287" s="23333"/>
      <c r="C287" s="26822"/>
      <c r="D287" s="26823"/>
      <c r="E287" s="26824"/>
      <c r="F287" s="26824"/>
      <c r="G287" s="26824"/>
      <c r="H287" s="23204" t="s">
        <v>104</v>
      </c>
      <c r="I287" s="26819">
        <v>46753</v>
      </c>
      <c r="J287" s="26820">
        <v>47118</v>
      </c>
      <c r="K287" s="26910">
        <v>83.42</v>
      </c>
      <c r="L287" s="23206" t="s">
        <v>381</v>
      </c>
      <c r="M287" s="26827"/>
      <c r="N287" s="26828"/>
      <c r="O287" s="23339"/>
      <c r="P287" s="23339"/>
      <c r="Q287" s="22944"/>
      <c r="R287" s="22944"/>
      <c r="S287" s="22944"/>
      <c r="T287" s="22944"/>
      <c r="U287" s="22944"/>
      <c r="V287" s="22944"/>
      <c r="W287" s="22944"/>
      <c r="X287" s="22944"/>
      <c r="Y287" s="22944"/>
      <c r="Z287" s="22944"/>
      <c r="AA287" s="22944"/>
      <c r="AB287" s="22944"/>
      <c r="AC287" s="22944"/>
      <c r="AD287" s="22944"/>
      <c r="AE287" s="22944"/>
      <c r="AF287" s="22944"/>
      <c r="AG287" s="22944"/>
      <c r="AH287" s="22944">
        <v>0</v>
      </c>
    </row>
    <row s="62286" customFormat="1" customHeight="1" ht="18.75">
      <c r="A288" s="23333"/>
      <c r="B288" s="23333"/>
      <c r="C288" s="26822" t="s">
        <v>1219</v>
      </c>
      <c r="D288" s="26823"/>
      <c r="E288" s="26824"/>
      <c r="F288" s="26824"/>
      <c r="G288" s="26825"/>
      <c r="H288" s="26985"/>
      <c r="I288" s="26986" t="s">
        <v>1218</v>
      </c>
      <c r="J288" s="26987"/>
      <c r="K288" s="26988"/>
      <c r="L288" s="26989"/>
      <c r="M288" s="26827"/>
      <c r="N288" s="26828"/>
      <c r="O288" s="23339"/>
      <c r="P288" s="23339"/>
      <c r="Q288" s="22944"/>
      <c r="R288" s="22944"/>
      <c r="S288" s="22944"/>
      <c r="T288" s="22944"/>
      <c r="U288" s="22944"/>
      <c r="V288" s="22944"/>
      <c r="W288" s="22944"/>
      <c r="X288" s="22944"/>
      <c r="Y288" s="22944"/>
      <c r="Z288" s="22944"/>
      <c r="AA288" s="22944"/>
      <c r="AB288" s="22944"/>
      <c r="AC288" s="22944"/>
      <c r="AD288" s="22944"/>
      <c r="AE288" s="22944"/>
      <c r="AF288" s="22944"/>
      <c r="AG288" s="22944"/>
      <c r="AH288" s="22944">
        <v>0</v>
      </c>
    </row>
    <row s="62286" customFormat="1" customHeight="1" ht="18.75">
      <c r="A289" s="23333" t="s">
        <v>190</v>
      </c>
      <c r="B289" s="23333" t="s">
        <v>206</v>
      </c>
      <c r="C289" s="26822"/>
      <c r="D289" s="26823"/>
      <c r="E289" s="26824"/>
      <c r="F289" s="26824"/>
      <c r="G289" s="26825" t="str">
        <f>INDEX(PT_DIFFERENTIATION_NTAR,MATCH(B289,PT_DIFFERENTIATION_NTAR_ID,0))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289" s="23206"/>
      <c r="I289" s="26819">
        <v>45292</v>
      </c>
      <c r="J289" s="26820">
        <v>45657</v>
      </c>
      <c r="K289" s="26910">
        <v>0.39</v>
      </c>
      <c r="L289" s="23206" t="s">
        <v>381</v>
      </c>
      <c r="M289" s="26827"/>
      <c r="N289" s="26828"/>
      <c r="O289" s="23339"/>
      <c r="P289" s="23339"/>
      <c r="Q289" s="22944"/>
      <c r="R289" s="22944"/>
      <c r="S289" s="22944"/>
      <c r="T289" s="22944"/>
      <c r="U289" s="22944"/>
      <c r="V289" s="22944"/>
      <c r="W289" s="22944"/>
      <c r="X289" s="22944"/>
      <c r="Y289" s="22944"/>
      <c r="Z289" s="22944"/>
      <c r="AA289" s="22944"/>
      <c r="AB289" s="22944"/>
      <c r="AC289" s="22944"/>
      <c r="AD289" s="22944"/>
      <c r="AE289" s="22944"/>
      <c r="AF289" s="22944"/>
      <c r="AG289" s="22944"/>
      <c r="AH289" s="22944">
        <v>0</v>
      </c>
    </row>
    <row s="62286" customFormat="1" customHeight="1" ht="56.25">
      <c r="A290" s="23333"/>
      <c r="B290" s="23333"/>
      <c r="C290" s="26822"/>
      <c r="D290" s="26823"/>
      <c r="E290" s="26824"/>
      <c r="F290" s="26824"/>
      <c r="G290" s="26824"/>
      <c r="H290" s="23204" t="s">
        <v>104</v>
      </c>
      <c r="I290" s="26819">
        <v>45658</v>
      </c>
      <c r="J290" s="26820">
        <v>46022</v>
      </c>
      <c r="K290" s="26910">
        <v>0.39</v>
      </c>
      <c r="L290" s="23206" t="s">
        <v>381</v>
      </c>
      <c r="M290" s="26827"/>
      <c r="N290" s="26828"/>
      <c r="O290" s="23339"/>
      <c r="P290" s="23339"/>
      <c r="Q290" s="22944"/>
      <c r="R290" s="22944"/>
      <c r="S290" s="22944"/>
      <c r="T290" s="22944"/>
      <c r="U290" s="22944"/>
      <c r="V290" s="22944"/>
      <c r="W290" s="22944"/>
      <c r="X290" s="22944"/>
      <c r="Y290" s="22944"/>
      <c r="Z290" s="22944"/>
      <c r="AA290" s="22944"/>
      <c r="AB290" s="22944"/>
      <c r="AC290" s="22944"/>
      <c r="AD290" s="22944"/>
      <c r="AE290" s="22944"/>
      <c r="AF290" s="22944"/>
      <c r="AG290" s="22944"/>
      <c r="AH290" s="22944">
        <v>0</v>
      </c>
    </row>
    <row s="62286" customFormat="1" customHeight="1" ht="56.25">
      <c r="A291" s="23333"/>
      <c r="B291" s="23333"/>
      <c r="C291" s="26822"/>
      <c r="D291" s="26823"/>
      <c r="E291" s="26824"/>
      <c r="F291" s="26824"/>
      <c r="G291" s="26824"/>
      <c r="H291" s="23204" t="s">
        <v>104</v>
      </c>
      <c r="I291" s="26819">
        <v>46023</v>
      </c>
      <c r="J291" s="26820">
        <v>46387</v>
      </c>
      <c r="K291" s="26910">
        <v>0.39</v>
      </c>
      <c r="L291" s="23206" t="s">
        <v>381</v>
      </c>
      <c r="M291" s="26827"/>
      <c r="N291" s="26828"/>
      <c r="O291" s="23339"/>
      <c r="P291" s="23339"/>
      <c r="Q291" s="22944"/>
      <c r="R291" s="22944"/>
      <c r="S291" s="22944"/>
      <c r="T291" s="22944"/>
      <c r="U291" s="22944"/>
      <c r="V291" s="22944"/>
      <c r="W291" s="22944"/>
      <c r="X291" s="22944"/>
      <c r="Y291" s="22944"/>
      <c r="Z291" s="22944"/>
      <c r="AA291" s="22944"/>
      <c r="AB291" s="22944"/>
      <c r="AC291" s="22944"/>
      <c r="AD291" s="22944"/>
      <c r="AE291" s="22944"/>
      <c r="AF291" s="22944"/>
      <c r="AG291" s="22944"/>
      <c r="AH291" s="22944">
        <v>0</v>
      </c>
    </row>
    <row s="62286" customFormat="1" customHeight="1" ht="56.25">
      <c r="A292" s="23333"/>
      <c r="B292" s="23333"/>
      <c r="C292" s="26822"/>
      <c r="D292" s="26823"/>
      <c r="E292" s="26824"/>
      <c r="F292" s="26824"/>
      <c r="G292" s="26824"/>
      <c r="H292" s="23204" t="s">
        <v>104</v>
      </c>
      <c r="I292" s="26819">
        <v>46388</v>
      </c>
      <c r="J292" s="26820">
        <v>46752</v>
      </c>
      <c r="K292" s="26910">
        <v>0.39</v>
      </c>
      <c r="L292" s="23206" t="s">
        <v>381</v>
      </c>
      <c r="M292" s="26827"/>
      <c r="N292" s="26828"/>
      <c r="O292" s="23339"/>
      <c r="P292" s="23339"/>
      <c r="Q292" s="22944"/>
      <c r="R292" s="22944"/>
      <c r="S292" s="22944"/>
      <c r="T292" s="22944"/>
      <c r="U292" s="22944"/>
      <c r="V292" s="22944"/>
      <c r="W292" s="22944"/>
      <c r="X292" s="22944"/>
      <c r="Y292" s="22944"/>
      <c r="Z292" s="22944"/>
      <c r="AA292" s="22944"/>
      <c r="AB292" s="22944"/>
      <c r="AC292" s="22944"/>
      <c r="AD292" s="22944"/>
      <c r="AE292" s="22944"/>
      <c r="AF292" s="22944"/>
      <c r="AG292" s="22944"/>
      <c r="AH292" s="22944">
        <v>0</v>
      </c>
    </row>
    <row s="62286" customFormat="1" customHeight="1" ht="56.25">
      <c r="A293" s="23333"/>
      <c r="B293" s="23333"/>
      <c r="C293" s="26822"/>
      <c r="D293" s="26823"/>
      <c r="E293" s="26824"/>
      <c r="F293" s="26824"/>
      <c r="G293" s="26824"/>
      <c r="H293" s="23204" t="s">
        <v>104</v>
      </c>
      <c r="I293" s="26819">
        <v>46753</v>
      </c>
      <c r="J293" s="26820">
        <v>47118</v>
      </c>
      <c r="K293" s="26910">
        <v>0.39</v>
      </c>
      <c r="L293" s="23206" t="s">
        <v>381</v>
      </c>
      <c r="M293" s="26827"/>
      <c r="N293" s="26828"/>
      <c r="O293" s="23339"/>
      <c r="P293" s="23339"/>
      <c r="Q293" s="22944"/>
      <c r="R293" s="22944"/>
      <c r="S293" s="22944"/>
      <c r="T293" s="22944"/>
      <c r="U293" s="22944"/>
      <c r="V293" s="22944"/>
      <c r="W293" s="22944"/>
      <c r="X293" s="22944"/>
      <c r="Y293" s="22944"/>
      <c r="Z293" s="22944"/>
      <c r="AA293" s="22944"/>
      <c r="AB293" s="22944"/>
      <c r="AC293" s="22944"/>
      <c r="AD293" s="22944"/>
      <c r="AE293" s="22944"/>
      <c r="AF293" s="22944"/>
      <c r="AG293" s="22944"/>
      <c r="AH293" s="22944">
        <v>0</v>
      </c>
    </row>
    <row s="62286" customFormat="1" customHeight="1" ht="18.75">
      <c r="A294" s="23333"/>
      <c r="B294" s="23333"/>
      <c r="C294" s="26822" t="s">
        <v>1219</v>
      </c>
      <c r="D294" s="26823"/>
      <c r="E294" s="26824"/>
      <c r="F294" s="26824"/>
      <c r="G294" s="26825"/>
      <c r="H294" s="26990"/>
      <c r="I294" s="26991" t="s">
        <v>1218</v>
      </c>
      <c r="J294" s="26992"/>
      <c r="K294" s="26993"/>
      <c r="L294" s="26994"/>
      <c r="M294" s="26827"/>
      <c r="N294" s="26828"/>
      <c r="O294" s="23339"/>
      <c r="P294" s="23339"/>
      <c r="Q294" s="22944"/>
      <c r="R294" s="22944"/>
      <c r="S294" s="22944"/>
      <c r="T294" s="22944"/>
      <c r="U294" s="22944"/>
      <c r="V294" s="22944"/>
      <c r="W294" s="22944"/>
      <c r="X294" s="22944"/>
      <c r="Y294" s="22944"/>
      <c r="Z294" s="22944"/>
      <c r="AA294" s="22944"/>
      <c r="AB294" s="22944"/>
      <c r="AC294" s="22944"/>
      <c r="AD294" s="22944"/>
      <c r="AE294" s="22944"/>
      <c r="AF294" s="22944"/>
      <c r="AG294" s="22944"/>
      <c r="AH294" s="22944">
        <v>0</v>
      </c>
    </row>
    <row s="62286" customFormat="1" customHeight="1" ht="18.75">
      <c r="A295" s="23333" t="s">
        <v>190</v>
      </c>
      <c r="B295" s="23333" t="s">
        <v>211</v>
      </c>
      <c r="C295" s="26822"/>
      <c r="D295" s="26823"/>
      <c r="E295" s="26824"/>
      <c r="F295" s="26824"/>
      <c r="G295" s="26825" t="str">
        <f>INDEX(PT_DIFFERENTIATION_NTAR,MATCH(B295,PT_DIFFERENTIATION_NTAR_ID,0))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295" s="23206"/>
      <c r="I295" s="26819">
        <v>45292</v>
      </c>
      <c r="J295" s="26820">
        <v>45657</v>
      </c>
      <c r="K295" s="26910">
        <v>478.44</v>
      </c>
      <c r="L295" s="23206" t="s">
        <v>381</v>
      </c>
      <c r="M295" s="26827"/>
      <c r="N295" s="26828"/>
      <c r="O295" s="23339"/>
      <c r="P295" s="23339"/>
      <c r="Q295" s="22944"/>
      <c r="R295" s="22944"/>
      <c r="S295" s="22944"/>
      <c r="T295" s="22944"/>
      <c r="U295" s="22944"/>
      <c r="V295" s="22944"/>
      <c r="W295" s="22944"/>
      <c r="X295" s="22944"/>
      <c r="Y295" s="22944"/>
      <c r="Z295" s="22944"/>
      <c r="AA295" s="22944"/>
      <c r="AB295" s="22944"/>
      <c r="AC295" s="22944"/>
      <c r="AD295" s="22944"/>
      <c r="AE295" s="22944"/>
      <c r="AF295" s="22944"/>
      <c r="AG295" s="22944"/>
      <c r="AH295" s="22944">
        <v>0</v>
      </c>
    </row>
    <row s="62286" customFormat="1" customHeight="1" ht="56.25">
      <c r="A296" s="23333"/>
      <c r="B296" s="23333"/>
      <c r="C296" s="26822"/>
      <c r="D296" s="26823"/>
      <c r="E296" s="26824"/>
      <c r="F296" s="26824"/>
      <c r="G296" s="26824"/>
      <c r="H296" s="23204" t="s">
        <v>104</v>
      </c>
      <c r="I296" s="26819">
        <v>45658</v>
      </c>
      <c r="J296" s="26820">
        <v>46022</v>
      </c>
      <c r="K296" s="26910">
        <v>478.44</v>
      </c>
      <c r="L296" s="23206" t="s">
        <v>381</v>
      </c>
      <c r="M296" s="26827"/>
      <c r="N296" s="26828"/>
      <c r="O296" s="23339"/>
      <c r="P296" s="23339"/>
      <c r="Q296" s="22944"/>
      <c r="R296" s="22944"/>
      <c r="S296" s="22944"/>
      <c r="T296" s="22944"/>
      <c r="U296" s="22944"/>
      <c r="V296" s="22944"/>
      <c r="W296" s="22944"/>
      <c r="X296" s="22944"/>
      <c r="Y296" s="22944"/>
      <c r="Z296" s="22944"/>
      <c r="AA296" s="22944"/>
      <c r="AB296" s="22944"/>
      <c r="AC296" s="22944"/>
      <c r="AD296" s="22944"/>
      <c r="AE296" s="22944"/>
      <c r="AF296" s="22944"/>
      <c r="AG296" s="22944"/>
      <c r="AH296" s="22944">
        <v>0</v>
      </c>
    </row>
    <row s="62286" customFormat="1" customHeight="1" ht="56.25">
      <c r="A297" s="23333"/>
      <c r="B297" s="23333"/>
      <c r="C297" s="26822"/>
      <c r="D297" s="26823"/>
      <c r="E297" s="26824"/>
      <c r="F297" s="26824"/>
      <c r="G297" s="26824"/>
      <c r="H297" s="23204" t="s">
        <v>104</v>
      </c>
      <c r="I297" s="26819">
        <v>46023</v>
      </c>
      <c r="J297" s="26820">
        <v>46387</v>
      </c>
      <c r="K297" s="26910">
        <v>478.44</v>
      </c>
      <c r="L297" s="23206" t="s">
        <v>381</v>
      </c>
      <c r="M297" s="26827"/>
      <c r="N297" s="26828"/>
      <c r="O297" s="23339"/>
      <c r="P297" s="23339"/>
      <c r="Q297" s="22944"/>
      <c r="R297" s="22944"/>
      <c r="S297" s="22944"/>
      <c r="T297" s="22944"/>
      <c r="U297" s="22944"/>
      <c r="V297" s="22944"/>
      <c r="W297" s="22944"/>
      <c r="X297" s="22944"/>
      <c r="Y297" s="22944"/>
      <c r="Z297" s="22944"/>
      <c r="AA297" s="22944"/>
      <c r="AB297" s="22944"/>
      <c r="AC297" s="22944"/>
      <c r="AD297" s="22944"/>
      <c r="AE297" s="22944"/>
      <c r="AF297" s="22944"/>
      <c r="AG297" s="22944"/>
      <c r="AH297" s="22944">
        <v>0</v>
      </c>
    </row>
    <row s="62286" customFormat="1" customHeight="1" ht="56.25">
      <c r="A298" s="23333"/>
      <c r="B298" s="23333"/>
      <c r="C298" s="26822"/>
      <c r="D298" s="26823"/>
      <c r="E298" s="26824"/>
      <c r="F298" s="26824"/>
      <c r="G298" s="26824"/>
      <c r="H298" s="23204" t="s">
        <v>104</v>
      </c>
      <c r="I298" s="26819">
        <v>46388</v>
      </c>
      <c r="J298" s="26820">
        <v>46752</v>
      </c>
      <c r="K298" s="26910">
        <v>478.44</v>
      </c>
      <c r="L298" s="23206" t="s">
        <v>381</v>
      </c>
      <c r="M298" s="26827"/>
      <c r="N298" s="26828"/>
      <c r="O298" s="23339"/>
      <c r="P298" s="23339"/>
      <c r="Q298" s="22944"/>
      <c r="R298" s="22944"/>
      <c r="S298" s="22944"/>
      <c r="T298" s="22944"/>
      <c r="U298" s="22944"/>
      <c r="V298" s="22944"/>
      <c r="W298" s="22944"/>
      <c r="X298" s="22944"/>
      <c r="Y298" s="22944"/>
      <c r="Z298" s="22944"/>
      <c r="AA298" s="22944"/>
      <c r="AB298" s="22944"/>
      <c r="AC298" s="22944"/>
      <c r="AD298" s="22944"/>
      <c r="AE298" s="22944"/>
      <c r="AF298" s="22944"/>
      <c r="AG298" s="22944"/>
      <c r="AH298" s="22944">
        <v>0</v>
      </c>
    </row>
    <row s="62286" customFormat="1" customHeight="1" ht="56.25">
      <c r="A299" s="23333"/>
      <c r="B299" s="23333"/>
      <c r="C299" s="26822"/>
      <c r="D299" s="26823"/>
      <c r="E299" s="26824"/>
      <c r="F299" s="26824"/>
      <c r="G299" s="26824"/>
      <c r="H299" s="23204" t="s">
        <v>104</v>
      </c>
      <c r="I299" s="26819">
        <v>46753</v>
      </c>
      <c r="J299" s="26820">
        <v>47118</v>
      </c>
      <c r="K299" s="26910">
        <v>478.44</v>
      </c>
      <c r="L299" s="23206" t="s">
        <v>381</v>
      </c>
      <c r="M299" s="26827"/>
      <c r="N299" s="26828"/>
      <c r="O299" s="23339"/>
      <c r="P299" s="23339"/>
      <c r="Q299" s="22944"/>
      <c r="R299" s="22944"/>
      <c r="S299" s="22944"/>
      <c r="T299" s="22944"/>
      <c r="U299" s="22944"/>
      <c r="V299" s="22944"/>
      <c r="W299" s="22944"/>
      <c r="X299" s="22944"/>
      <c r="Y299" s="22944"/>
      <c r="Z299" s="22944"/>
      <c r="AA299" s="22944"/>
      <c r="AB299" s="22944"/>
      <c r="AC299" s="22944"/>
      <c r="AD299" s="22944"/>
      <c r="AE299" s="22944"/>
      <c r="AF299" s="22944"/>
      <c r="AG299" s="22944"/>
      <c r="AH299" s="22944">
        <v>0</v>
      </c>
    </row>
    <row s="62286" customFormat="1" customHeight="1" ht="18.75">
      <c r="A300" s="23333"/>
      <c r="B300" s="23333"/>
      <c r="C300" s="26822" t="s">
        <v>1219</v>
      </c>
      <c r="D300" s="26823"/>
      <c r="E300" s="26824"/>
      <c r="F300" s="26824"/>
      <c r="G300" s="26825"/>
      <c r="H300" s="26995"/>
      <c r="I300" s="26996" t="s">
        <v>1218</v>
      </c>
      <c r="J300" s="26997"/>
      <c r="K300" s="26998"/>
      <c r="L300" s="26999"/>
      <c r="M300" s="26827"/>
      <c r="N300" s="26828"/>
      <c r="O300" s="23339"/>
      <c r="P300" s="23339"/>
      <c r="Q300" s="22944"/>
      <c r="R300" s="22944"/>
      <c r="S300" s="22944"/>
      <c r="T300" s="22944"/>
      <c r="U300" s="22944"/>
      <c r="V300" s="22944"/>
      <c r="W300" s="22944"/>
      <c r="X300" s="22944"/>
      <c r="Y300" s="22944"/>
      <c r="Z300" s="22944"/>
      <c r="AA300" s="22944"/>
      <c r="AB300" s="22944"/>
      <c r="AC300" s="22944"/>
      <c r="AD300" s="22944"/>
      <c r="AE300" s="22944"/>
      <c r="AF300" s="22944"/>
      <c r="AG300" s="22944"/>
      <c r="AH300" s="22944">
        <v>0</v>
      </c>
    </row>
    <row s="62286" customFormat="1" customHeight="1" ht="18.75">
      <c r="A301" s="23333" t="s">
        <v>190</v>
      </c>
      <c r="B301" s="23333" t="s">
        <v>216</v>
      </c>
      <c r="C301" s="26822"/>
      <c r="D301" s="26823"/>
      <c r="E301" s="26824"/>
      <c r="F301" s="26824"/>
      <c r="G301" s="26825" t="str">
        <f>INDEX(PT_DIFFERENTIATION_NTAR,MATCH(B301,PT_DIFFERENTIATION_NTAR_ID,0))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301" s="23206"/>
      <c r="I301" s="26819">
        <v>45292</v>
      </c>
      <c r="J301" s="26820">
        <v>45657</v>
      </c>
      <c r="K301" s="26910">
        <v>0</v>
      </c>
      <c r="L301" s="23206" t="s">
        <v>381</v>
      </c>
      <c r="M301" s="26827"/>
      <c r="N301" s="26828"/>
      <c r="O301" s="23339"/>
      <c r="P301" s="23339"/>
      <c r="Q301" s="22944"/>
      <c r="R301" s="22944"/>
      <c r="S301" s="22944"/>
      <c r="T301" s="22944"/>
      <c r="U301" s="22944"/>
      <c r="V301" s="22944"/>
      <c r="W301" s="22944"/>
      <c r="X301" s="22944"/>
      <c r="Y301" s="22944"/>
      <c r="Z301" s="22944"/>
      <c r="AA301" s="22944"/>
      <c r="AB301" s="22944"/>
      <c r="AC301" s="22944"/>
      <c r="AD301" s="22944"/>
      <c r="AE301" s="22944"/>
      <c r="AF301" s="22944"/>
      <c r="AG301" s="22944"/>
      <c r="AH301" s="22944">
        <v>0</v>
      </c>
    </row>
    <row s="62286" customFormat="1" customHeight="1" ht="56.25">
      <c r="A302" s="23333"/>
      <c r="B302" s="23333"/>
      <c r="C302" s="26822"/>
      <c r="D302" s="26823"/>
      <c r="E302" s="26824"/>
      <c r="F302" s="26824"/>
      <c r="G302" s="26824"/>
      <c r="H302" s="23204" t="s">
        <v>104</v>
      </c>
      <c r="I302" s="26819">
        <v>45658</v>
      </c>
      <c r="J302" s="26820">
        <v>46022</v>
      </c>
      <c r="K302" s="26910">
        <v>0</v>
      </c>
      <c r="L302" s="23206" t="s">
        <v>381</v>
      </c>
      <c r="M302" s="26827"/>
      <c r="N302" s="26828"/>
      <c r="O302" s="23339"/>
      <c r="P302" s="23339"/>
      <c r="Q302" s="22944"/>
      <c r="R302" s="22944"/>
      <c r="S302" s="22944"/>
      <c r="T302" s="22944"/>
      <c r="U302" s="22944"/>
      <c r="V302" s="22944"/>
      <c r="W302" s="22944"/>
      <c r="X302" s="22944"/>
      <c r="Y302" s="22944"/>
      <c r="Z302" s="22944"/>
      <c r="AA302" s="22944"/>
      <c r="AB302" s="22944"/>
      <c r="AC302" s="22944"/>
      <c r="AD302" s="22944"/>
      <c r="AE302" s="22944"/>
      <c r="AF302" s="22944"/>
      <c r="AG302" s="22944"/>
      <c r="AH302" s="22944">
        <v>0</v>
      </c>
    </row>
    <row s="62286" customFormat="1" customHeight="1" ht="56.25">
      <c r="A303" s="23333"/>
      <c r="B303" s="23333"/>
      <c r="C303" s="26822"/>
      <c r="D303" s="26823"/>
      <c r="E303" s="26824"/>
      <c r="F303" s="26824"/>
      <c r="G303" s="26824"/>
      <c r="H303" s="23204" t="s">
        <v>104</v>
      </c>
      <c r="I303" s="26819">
        <v>46023</v>
      </c>
      <c r="J303" s="26820">
        <v>46387</v>
      </c>
      <c r="K303" s="26910">
        <v>0</v>
      </c>
      <c r="L303" s="23206" t="s">
        <v>381</v>
      </c>
      <c r="M303" s="26827"/>
      <c r="N303" s="26828"/>
      <c r="O303" s="23339"/>
      <c r="P303" s="23339"/>
      <c r="Q303" s="22944"/>
      <c r="R303" s="22944"/>
      <c r="S303" s="22944"/>
      <c r="T303" s="22944"/>
      <c r="U303" s="22944"/>
      <c r="V303" s="22944"/>
      <c r="W303" s="22944"/>
      <c r="X303" s="22944"/>
      <c r="Y303" s="22944"/>
      <c r="Z303" s="22944"/>
      <c r="AA303" s="22944"/>
      <c r="AB303" s="22944"/>
      <c r="AC303" s="22944"/>
      <c r="AD303" s="22944"/>
      <c r="AE303" s="22944"/>
      <c r="AF303" s="22944"/>
      <c r="AG303" s="22944"/>
      <c r="AH303" s="22944">
        <v>0</v>
      </c>
    </row>
    <row s="62286" customFormat="1" customHeight="1" ht="56.25">
      <c r="A304" s="23333"/>
      <c r="B304" s="23333"/>
      <c r="C304" s="26822"/>
      <c r="D304" s="26823"/>
      <c r="E304" s="26824"/>
      <c r="F304" s="26824"/>
      <c r="G304" s="26824"/>
      <c r="H304" s="23204" t="s">
        <v>104</v>
      </c>
      <c r="I304" s="26819">
        <v>46388</v>
      </c>
      <c r="J304" s="26820">
        <v>46752</v>
      </c>
      <c r="K304" s="26910">
        <v>0</v>
      </c>
      <c r="L304" s="23206" t="s">
        <v>381</v>
      </c>
      <c r="M304" s="26827"/>
      <c r="N304" s="26828"/>
      <c r="O304" s="23339"/>
      <c r="P304" s="23339"/>
      <c r="Q304" s="22944"/>
      <c r="R304" s="22944"/>
      <c r="S304" s="22944"/>
      <c r="T304" s="22944"/>
      <c r="U304" s="22944"/>
      <c r="V304" s="22944"/>
      <c r="W304" s="22944"/>
      <c r="X304" s="22944"/>
      <c r="Y304" s="22944"/>
      <c r="Z304" s="22944"/>
      <c r="AA304" s="22944"/>
      <c r="AB304" s="22944"/>
      <c r="AC304" s="22944"/>
      <c r="AD304" s="22944"/>
      <c r="AE304" s="22944"/>
      <c r="AF304" s="22944"/>
      <c r="AG304" s="22944"/>
      <c r="AH304" s="22944">
        <v>0</v>
      </c>
    </row>
    <row s="62286" customFormat="1" customHeight="1" ht="56.25">
      <c r="A305" s="23333"/>
      <c r="B305" s="23333"/>
      <c r="C305" s="26822"/>
      <c r="D305" s="26823"/>
      <c r="E305" s="26824"/>
      <c r="F305" s="26824"/>
      <c r="G305" s="26824"/>
      <c r="H305" s="23204" t="s">
        <v>104</v>
      </c>
      <c r="I305" s="26819">
        <v>46753</v>
      </c>
      <c r="J305" s="26820">
        <v>47118</v>
      </c>
      <c r="K305" s="26910">
        <v>0</v>
      </c>
      <c r="L305" s="23206" t="s">
        <v>381</v>
      </c>
      <c r="M305" s="26827"/>
      <c r="N305" s="26828"/>
      <c r="O305" s="23339"/>
      <c r="P305" s="23339"/>
      <c r="Q305" s="22944"/>
      <c r="R305" s="22944"/>
      <c r="S305" s="22944"/>
      <c r="T305" s="22944"/>
      <c r="U305" s="22944"/>
      <c r="V305" s="22944"/>
      <c r="W305" s="22944"/>
      <c r="X305" s="22944"/>
      <c r="Y305" s="22944"/>
      <c r="Z305" s="22944"/>
      <c r="AA305" s="22944"/>
      <c r="AB305" s="22944"/>
      <c r="AC305" s="22944"/>
      <c r="AD305" s="22944"/>
      <c r="AE305" s="22944"/>
      <c r="AF305" s="22944"/>
      <c r="AG305" s="22944"/>
      <c r="AH305" s="22944">
        <v>0</v>
      </c>
    </row>
    <row s="62286" customFormat="1" customHeight="1" ht="18.75">
      <c r="A306" s="23333"/>
      <c r="B306" s="23333"/>
      <c r="C306" s="26822" t="s">
        <v>1219</v>
      </c>
      <c r="D306" s="26823"/>
      <c r="E306" s="26824"/>
      <c r="F306" s="26824"/>
      <c r="G306" s="26825"/>
      <c r="H306" s="27000"/>
      <c r="I306" s="27001" t="s">
        <v>1218</v>
      </c>
      <c r="J306" s="27002"/>
      <c r="K306" s="27003"/>
      <c r="L306" s="27004"/>
      <c r="M306" s="26827"/>
      <c r="N306" s="26828"/>
      <c r="O306" s="23339"/>
      <c r="P306" s="23339"/>
      <c r="Q306" s="22944"/>
      <c r="R306" s="22944"/>
      <c r="S306" s="22944"/>
      <c r="T306" s="22944"/>
      <c r="U306" s="22944"/>
      <c r="V306" s="22944"/>
      <c r="W306" s="22944"/>
      <c r="X306" s="22944"/>
      <c r="Y306" s="22944"/>
      <c r="Z306" s="22944"/>
      <c r="AA306" s="22944"/>
      <c r="AB306" s="22944"/>
      <c r="AC306" s="22944"/>
      <c r="AD306" s="22944"/>
      <c r="AE306" s="22944"/>
      <c r="AF306" s="22944"/>
      <c r="AG306" s="22944"/>
      <c r="AH306" s="22944">
        <v>0</v>
      </c>
    </row>
    <row s="62286" customFormat="1" customHeight="1" ht="0.75">
      <c r="A307" s="2472"/>
      <c r="B307" s="2472"/>
      <c r="C307" s="1061" t="s">
        <v>1228</v>
      </c>
      <c r="D307" s="3154"/>
      <c r="E307" s="2896"/>
      <c r="F307" s="3075"/>
      <c r="G307" s="1092"/>
      <c r="H307" s="2192"/>
      <c r="I307" s="1343"/>
      <c r="J307" s="1263"/>
      <c r="K307" s="2192"/>
      <c r="L307" s="906"/>
      <c r="M307" s="1033"/>
      <c r="N307" s="1026"/>
      <c r="O307" s="2316"/>
      <c r="P307" s="2316"/>
      <c r="AH307" s="2323">
        <v>0</v>
      </c>
    </row>
    <row s="62286" customFormat="1" customHeight="1" ht="14.25">
      <c r="A308" s="2472" t="s">
        <v>223</v>
      </c>
      <c r="B308" s="2472" t="s">
        <v>224</v>
      </c>
      <c r="C308" s="1061"/>
      <c r="D308" s="3154"/>
      <c r="E308" s="2896"/>
      <c r="F308" s="3075" t="str">
        <f>INDEX(PT_DIFFERENTIATION_VTAR,MATCH(A308,PT_DIFFERENTIATION_VTAR_ID,0))</f>
        <v>Тарифы на теплоноситель, поставляемый теплоснабжающими организациями потребителям, другим теплоснабжающим организациям</v>
      </c>
      <c r="G308" s="3119" t="str">
        <f>INDEX(PT_DIFFERENTIATION_NTAR,MATCH(B308,PT_DIFFERENTIATION_NTAR_ID,0))</f>
        <v>Тарифы на теплоноситель, поставляемый потребителям Артемовского городского округа</v>
      </c>
      <c r="H308" s="2554"/>
      <c r="I308" s="9324">
        <v>45292</v>
      </c>
      <c r="J308" s="2465">
        <v>45657</v>
      </c>
      <c r="K308" s="2470">
        <v>123.68</v>
      </c>
      <c r="L308" s="2554" t="s">
        <v>381</v>
      </c>
      <c r="M308" s="1033"/>
      <c r="N308" s="1026"/>
      <c r="O308" s="2316"/>
      <c r="P308" s="2316"/>
      <c r="AH308" s="2323">
        <v>0</v>
      </c>
    </row>
    <row s="62286" customFormat="1" customHeight="1" ht="14.25">
      <c r="A309" s="8094"/>
      <c r="B309" s="8094"/>
      <c r="C309" s="9344"/>
      <c r="D309" s="9345"/>
      <c r="E309" s="9346"/>
      <c r="F309" s="9346"/>
      <c r="G309" s="9346"/>
      <c r="H309" s="7448" t="s">
        <v>104</v>
      </c>
      <c r="I309" s="9324">
        <v>45658</v>
      </c>
      <c r="J309" s="9325">
        <v>46022</v>
      </c>
      <c r="K309" s="9364">
        <v>112.85</v>
      </c>
      <c r="L309" s="7450" t="s">
        <v>381</v>
      </c>
      <c r="M309" s="7985"/>
      <c r="N309" s="9349"/>
      <c r="O309" s="8100"/>
      <c r="P309" s="8100"/>
      <c r="Q309" s="7330"/>
      <c r="R309" s="7330"/>
      <c r="S309" s="7330"/>
      <c r="T309" s="7330"/>
      <c r="U309" s="7330"/>
      <c r="V309" s="7330"/>
      <c r="W309" s="7330"/>
      <c r="X309" s="7330"/>
      <c r="Y309" s="7330"/>
      <c r="Z309" s="7330"/>
      <c r="AA309" s="7330"/>
      <c r="AB309" s="7330"/>
      <c r="AC309" s="7330"/>
      <c r="AD309" s="7330"/>
      <c r="AE309" s="7330"/>
      <c r="AF309" s="7330"/>
      <c r="AG309" s="7330"/>
      <c r="AH309" s="7330">
        <v>0</v>
      </c>
    </row>
    <row s="62286" customFormat="1" customHeight="1" ht="14.25">
      <c r="A310" s="8094"/>
      <c r="B310" s="8094"/>
      <c r="C310" s="9344"/>
      <c r="D310" s="9345"/>
      <c r="E310" s="9346"/>
      <c r="F310" s="9346"/>
      <c r="G310" s="9346"/>
      <c r="H310" s="7448" t="s">
        <v>104</v>
      </c>
      <c r="I310" s="9324">
        <v>46023</v>
      </c>
      <c r="J310" s="9325">
        <v>46387</v>
      </c>
      <c r="K310" s="9364">
        <v>111.51</v>
      </c>
      <c r="L310" s="7450" t="s">
        <v>381</v>
      </c>
      <c r="M310" s="7985"/>
      <c r="N310" s="9349"/>
      <c r="O310" s="8100"/>
      <c r="P310" s="8100"/>
      <c r="Q310" s="7330"/>
      <c r="R310" s="7330"/>
      <c r="S310" s="7330"/>
      <c r="T310" s="7330"/>
      <c r="U310" s="7330"/>
      <c r="V310" s="7330"/>
      <c r="W310" s="7330"/>
      <c r="X310" s="7330"/>
      <c r="Y310" s="7330"/>
      <c r="Z310" s="7330"/>
      <c r="AA310" s="7330"/>
      <c r="AB310" s="7330"/>
      <c r="AC310" s="7330"/>
      <c r="AD310" s="7330"/>
      <c r="AE310" s="7330"/>
      <c r="AF310" s="7330"/>
      <c r="AG310" s="7330"/>
      <c r="AH310" s="7330">
        <v>0</v>
      </c>
    </row>
    <row s="62286" customFormat="1" customHeight="1" ht="14.25">
      <c r="A311" s="8094"/>
      <c r="B311" s="8094"/>
      <c r="C311" s="9344"/>
      <c r="D311" s="9345"/>
      <c r="E311" s="9346"/>
      <c r="F311" s="9346"/>
      <c r="G311" s="9346"/>
      <c r="H311" s="7448" t="s">
        <v>104</v>
      </c>
      <c r="I311" s="9324">
        <v>46388</v>
      </c>
      <c r="J311" s="9325">
        <v>46752</v>
      </c>
      <c r="K311" s="9364">
        <v>123.68</v>
      </c>
      <c r="L311" s="7450" t="s">
        <v>381</v>
      </c>
      <c r="M311" s="7985"/>
      <c r="N311" s="9349"/>
      <c r="O311" s="8100"/>
      <c r="P311" s="8100"/>
      <c r="Q311" s="7330"/>
      <c r="R311" s="7330"/>
      <c r="S311" s="7330"/>
      <c r="T311" s="7330"/>
      <c r="U311" s="7330"/>
      <c r="V311" s="7330"/>
      <c r="W311" s="7330"/>
      <c r="X311" s="7330"/>
      <c r="Y311" s="7330"/>
      <c r="Z311" s="7330"/>
      <c r="AA311" s="7330"/>
      <c r="AB311" s="7330"/>
      <c r="AC311" s="7330"/>
      <c r="AD311" s="7330"/>
      <c r="AE311" s="7330"/>
      <c r="AF311" s="7330"/>
      <c r="AG311" s="7330"/>
      <c r="AH311" s="7330">
        <v>0</v>
      </c>
    </row>
    <row s="62286" customFormat="1" customHeight="1" ht="14.25">
      <c r="A312" s="8094"/>
      <c r="B312" s="8094"/>
      <c r="C312" s="9344"/>
      <c r="D312" s="9345"/>
      <c r="E312" s="9346"/>
      <c r="F312" s="9346"/>
      <c r="G312" s="9346"/>
      <c r="H312" s="7448" t="s">
        <v>104</v>
      </c>
      <c r="I312" s="9324">
        <v>46753</v>
      </c>
      <c r="J312" s="9325">
        <v>47118</v>
      </c>
      <c r="K312" s="9364">
        <v>123.68</v>
      </c>
      <c r="L312" s="7450" t="s">
        <v>381</v>
      </c>
      <c r="M312" s="7985"/>
      <c r="N312" s="9349"/>
      <c r="O312" s="8100"/>
      <c r="P312" s="8100"/>
      <c r="Q312" s="7330"/>
      <c r="R312" s="7330"/>
      <c r="S312" s="7330"/>
      <c r="T312" s="7330"/>
      <c r="U312" s="7330"/>
      <c r="V312" s="7330"/>
      <c r="W312" s="7330"/>
      <c r="X312" s="7330"/>
      <c r="Y312" s="7330"/>
      <c r="Z312" s="7330"/>
      <c r="AA312" s="7330"/>
      <c r="AB312" s="7330"/>
      <c r="AC312" s="7330"/>
      <c r="AD312" s="7330"/>
      <c r="AE312" s="7330"/>
      <c r="AF312" s="7330"/>
      <c r="AG312" s="7330"/>
      <c r="AH312" s="7330">
        <v>0</v>
      </c>
    </row>
    <row s="62286" customFormat="1" customHeight="1" ht="18.75">
      <c r="A313" s="2472"/>
      <c r="B313" s="2472"/>
      <c r="C313" s="1061" t="s">
        <v>1219</v>
      </c>
      <c r="D313" s="3154"/>
      <c r="E313" s="2896"/>
      <c r="F313" s="3075"/>
      <c r="G313" s="3119"/>
      <c r="H313" s="2192"/>
      <c r="I313" s="1343" t="s">
        <v>1218</v>
      </c>
      <c r="J313" s="1263"/>
      <c r="K313" s="2192"/>
      <c r="L313" s="906"/>
      <c r="M313" s="1033"/>
      <c r="N313" s="1026"/>
      <c r="O313" s="2316"/>
      <c r="P313" s="2316"/>
      <c r="AH313" s="2323">
        <v>0</v>
      </c>
    </row>
    <row s="62286" customFormat="1" customHeight="1" ht="14.25">
      <c r="A314" s="4421" t="s">
        <v>223</v>
      </c>
      <c r="B314" s="4421" t="s">
        <v>229</v>
      </c>
      <c r="C314" s="5479"/>
      <c r="D314" s="5480"/>
      <c r="E314" s="5481"/>
      <c r="F314" s="5481"/>
      <c r="G314" s="5482" t="str">
        <f>INDEX(PT_DIFFERENTIATION_NTAR,MATCH(B314,PT_DIFFERENTIATION_NTAR_ID,0))</f>
        <v>Тарифы на теплоноситель, поставляемый потребителям Владивостокского городского округа</v>
      </c>
      <c r="H314" s="5483"/>
      <c r="I314" s="9324">
        <v>45292</v>
      </c>
      <c r="J314" s="5485">
        <v>45657</v>
      </c>
      <c r="K314" s="5502">
        <v>8495.45</v>
      </c>
      <c r="L314" s="5483" t="s">
        <v>381</v>
      </c>
      <c r="M314" s="5487"/>
      <c r="N314" s="5488"/>
      <c r="O314" s="4431"/>
      <c r="P314" s="4431"/>
      <c r="Q314" s="4432"/>
      <c r="R314" s="4432"/>
      <c r="S314" s="4432"/>
      <c r="T314" s="4432"/>
      <c r="U314" s="4432"/>
      <c r="V314" s="4432"/>
      <c r="W314" s="4432"/>
      <c r="X314" s="4432"/>
      <c r="Y314" s="4432"/>
      <c r="Z314" s="4432"/>
      <c r="AA314" s="4432"/>
      <c r="AB314" s="4432"/>
      <c r="AC314" s="4432"/>
      <c r="AD314" s="4432"/>
      <c r="AE314" s="4432"/>
      <c r="AF314" s="4432"/>
      <c r="AG314" s="4432"/>
      <c r="AH314" s="4432">
        <v>0</v>
      </c>
    </row>
    <row s="62286" customFormat="1" customHeight="1" ht="14.25">
      <c r="A315" s="8094"/>
      <c r="B315" s="8094"/>
      <c r="C315" s="9344"/>
      <c r="D315" s="9345"/>
      <c r="E315" s="9346"/>
      <c r="F315" s="9346"/>
      <c r="G315" s="9346"/>
      <c r="H315" s="7448" t="s">
        <v>104</v>
      </c>
      <c r="I315" s="9324">
        <v>45658</v>
      </c>
      <c r="J315" s="9325">
        <v>46022</v>
      </c>
      <c r="K315" s="9364">
        <v>8504.28</v>
      </c>
      <c r="L315" s="7450" t="s">
        <v>381</v>
      </c>
      <c r="M315" s="7985"/>
      <c r="N315" s="9349"/>
      <c r="O315" s="8100"/>
      <c r="P315" s="8100"/>
      <c r="Q315" s="7330"/>
      <c r="R315" s="7330"/>
      <c r="S315" s="7330"/>
      <c r="T315" s="7330"/>
      <c r="U315" s="7330"/>
      <c r="V315" s="7330"/>
      <c r="W315" s="7330"/>
      <c r="X315" s="7330"/>
      <c r="Y315" s="7330"/>
      <c r="Z315" s="7330"/>
      <c r="AA315" s="7330"/>
      <c r="AB315" s="7330"/>
      <c r="AC315" s="7330"/>
      <c r="AD315" s="7330"/>
      <c r="AE315" s="7330"/>
      <c r="AF315" s="7330"/>
      <c r="AG315" s="7330"/>
      <c r="AH315" s="7330">
        <v>0</v>
      </c>
    </row>
    <row s="62286" customFormat="1" customHeight="1" ht="14.25">
      <c r="A316" s="8094"/>
      <c r="B316" s="8094"/>
      <c r="C316" s="9344"/>
      <c r="D316" s="9345"/>
      <c r="E316" s="9346"/>
      <c r="F316" s="9346"/>
      <c r="G316" s="9346"/>
      <c r="H316" s="7448" t="s">
        <v>104</v>
      </c>
      <c r="I316" s="9324">
        <v>46023</v>
      </c>
      <c r="J316" s="9325">
        <v>46387</v>
      </c>
      <c r="K316" s="9364">
        <v>8474.87</v>
      </c>
      <c r="L316" s="7450" t="s">
        <v>381</v>
      </c>
      <c r="M316" s="7985"/>
      <c r="N316" s="9349"/>
      <c r="O316" s="8100"/>
      <c r="P316" s="8100"/>
      <c r="Q316" s="7330"/>
      <c r="R316" s="7330"/>
      <c r="S316" s="7330"/>
      <c r="T316" s="7330"/>
      <c r="U316" s="7330"/>
      <c r="V316" s="7330"/>
      <c r="W316" s="7330"/>
      <c r="X316" s="7330"/>
      <c r="Y316" s="7330"/>
      <c r="Z316" s="7330"/>
      <c r="AA316" s="7330"/>
      <c r="AB316" s="7330"/>
      <c r="AC316" s="7330"/>
      <c r="AD316" s="7330"/>
      <c r="AE316" s="7330"/>
      <c r="AF316" s="7330"/>
      <c r="AG316" s="7330"/>
      <c r="AH316" s="7330">
        <v>0</v>
      </c>
    </row>
    <row s="62286" customFormat="1" customHeight="1" ht="14.25">
      <c r="A317" s="8094"/>
      <c r="B317" s="8094"/>
      <c r="C317" s="9344"/>
      <c r="D317" s="9345"/>
      <c r="E317" s="9346"/>
      <c r="F317" s="9346"/>
      <c r="G317" s="9346"/>
      <c r="H317" s="7448" t="s">
        <v>104</v>
      </c>
      <c r="I317" s="9324">
        <v>46388</v>
      </c>
      <c r="J317" s="9325">
        <v>46752</v>
      </c>
      <c r="K317" s="9364">
        <v>8495.45</v>
      </c>
      <c r="L317" s="7450" t="s">
        <v>381</v>
      </c>
      <c r="M317" s="7985"/>
      <c r="N317" s="9349"/>
      <c r="O317" s="8100"/>
      <c r="P317" s="8100"/>
      <c r="Q317" s="7330"/>
      <c r="R317" s="7330"/>
      <c r="S317" s="7330"/>
      <c r="T317" s="7330"/>
      <c r="U317" s="7330"/>
      <c r="V317" s="7330"/>
      <c r="W317" s="7330"/>
      <c r="X317" s="7330"/>
      <c r="Y317" s="7330"/>
      <c r="Z317" s="7330"/>
      <c r="AA317" s="7330"/>
      <c r="AB317" s="7330"/>
      <c r="AC317" s="7330"/>
      <c r="AD317" s="7330"/>
      <c r="AE317" s="7330"/>
      <c r="AF317" s="7330"/>
      <c r="AG317" s="7330"/>
      <c r="AH317" s="7330">
        <v>0</v>
      </c>
    </row>
    <row s="62286" customFormat="1" customHeight="1" ht="14.25">
      <c r="A318" s="8094"/>
      <c r="B318" s="8094"/>
      <c r="C318" s="9344"/>
      <c r="D318" s="9345"/>
      <c r="E318" s="9346"/>
      <c r="F318" s="9346"/>
      <c r="G318" s="9346"/>
      <c r="H318" s="7448" t="s">
        <v>104</v>
      </c>
      <c r="I318" s="9324">
        <v>46753</v>
      </c>
      <c r="J318" s="9325">
        <v>47118</v>
      </c>
      <c r="K318" s="9364">
        <v>8495.45</v>
      </c>
      <c r="L318" s="7450" t="s">
        <v>381</v>
      </c>
      <c r="M318" s="7985"/>
      <c r="N318" s="9349"/>
      <c r="O318" s="8100"/>
      <c r="P318" s="8100"/>
      <c r="Q318" s="7330"/>
      <c r="R318" s="7330"/>
      <c r="S318" s="7330"/>
      <c r="T318" s="7330"/>
      <c r="U318" s="7330"/>
      <c r="V318" s="7330"/>
      <c r="W318" s="7330"/>
      <c r="X318" s="7330"/>
      <c r="Y318" s="7330"/>
      <c r="Z318" s="7330"/>
      <c r="AA318" s="7330"/>
      <c r="AB318" s="7330"/>
      <c r="AC318" s="7330"/>
      <c r="AD318" s="7330"/>
      <c r="AE318" s="7330"/>
      <c r="AF318" s="7330"/>
      <c r="AG318" s="7330"/>
      <c r="AH318" s="7330">
        <v>0</v>
      </c>
    </row>
    <row s="62286" customFormat="1" customHeight="1" ht="18.75">
      <c r="A319" s="4421"/>
      <c r="B319" s="4421"/>
      <c r="C319" s="5479" t="s">
        <v>1219</v>
      </c>
      <c r="D319" s="5480"/>
      <c r="E319" s="5481"/>
      <c r="F319" s="5481"/>
      <c r="G319" s="5482"/>
      <c r="H319" s="5513"/>
      <c r="I319" s="5514" t="s">
        <v>1218</v>
      </c>
      <c r="J319" s="5515"/>
      <c r="K319" s="5516"/>
      <c r="L319" s="5517"/>
      <c r="M319" s="5487"/>
      <c r="N319" s="5488"/>
      <c r="O319" s="4431"/>
      <c r="P319" s="4431"/>
      <c r="Q319" s="4432"/>
      <c r="R319" s="4432"/>
      <c r="S319" s="4432"/>
      <c r="T319" s="4432"/>
      <c r="U319" s="4432"/>
      <c r="V319" s="4432"/>
      <c r="W319" s="4432"/>
      <c r="X319" s="4432"/>
      <c r="Y319" s="4432"/>
      <c r="Z319" s="4432"/>
      <c r="AA319" s="4432"/>
      <c r="AB319" s="4432"/>
      <c r="AC319" s="4432"/>
      <c r="AD319" s="4432"/>
      <c r="AE319" s="4432"/>
      <c r="AF319" s="4432"/>
      <c r="AG319" s="4432"/>
      <c r="AH319" s="4432">
        <v>0</v>
      </c>
    </row>
    <row s="62286" customFormat="1" customHeight="1" ht="14.25">
      <c r="A320" s="4421" t="s">
        <v>223</v>
      </c>
      <c r="B320" s="4421" t="s">
        <v>234</v>
      </c>
      <c r="C320" s="5479"/>
      <c r="D320" s="5480"/>
      <c r="E320" s="5481"/>
      <c r="F320" s="5481"/>
      <c r="G320" s="5482" t="str">
        <f>INDEX(PT_DIFFERENTIATION_NTAR,MATCH(B320,PT_DIFFERENTIATION_NTAR_ID,0))</f>
        <v>Тарифы на теплоноситель, поставляемый потребителям Партизанского городского округа</v>
      </c>
      <c r="H320" s="5483"/>
      <c r="I320" s="9324">
        <v>45292</v>
      </c>
      <c r="J320" s="5485">
        <v>45657</v>
      </c>
      <c r="K320" s="5502">
        <v>21.96</v>
      </c>
      <c r="L320" s="5483" t="s">
        <v>381</v>
      </c>
      <c r="M320" s="5487"/>
      <c r="N320" s="5488"/>
      <c r="O320" s="4431"/>
      <c r="P320" s="4431"/>
      <c r="Q320" s="4432"/>
      <c r="R320" s="4432"/>
      <c r="S320" s="4432"/>
      <c r="T320" s="4432"/>
      <c r="U320" s="4432"/>
      <c r="V320" s="4432"/>
      <c r="W320" s="4432"/>
      <c r="X320" s="4432"/>
      <c r="Y320" s="4432"/>
      <c r="Z320" s="4432"/>
      <c r="AA320" s="4432"/>
      <c r="AB320" s="4432"/>
      <c r="AC320" s="4432"/>
      <c r="AD320" s="4432"/>
      <c r="AE320" s="4432"/>
      <c r="AF320" s="4432"/>
      <c r="AG320" s="4432"/>
      <c r="AH320" s="4432">
        <v>0</v>
      </c>
    </row>
    <row s="62286" customFormat="1" customHeight="1" ht="14.25">
      <c r="A321" s="8094"/>
      <c r="B321" s="8094"/>
      <c r="C321" s="9344"/>
      <c r="D321" s="9345"/>
      <c r="E321" s="9346"/>
      <c r="F321" s="9346"/>
      <c r="G321" s="9346"/>
      <c r="H321" s="7448" t="s">
        <v>104</v>
      </c>
      <c r="I321" s="9324">
        <v>45658</v>
      </c>
      <c r="J321" s="9325">
        <v>46022</v>
      </c>
      <c r="K321" s="9364">
        <v>20.2</v>
      </c>
      <c r="L321" s="7450" t="s">
        <v>381</v>
      </c>
      <c r="M321" s="7985"/>
      <c r="N321" s="9349"/>
      <c r="O321" s="8100"/>
      <c r="P321" s="8100"/>
      <c r="Q321" s="7330"/>
      <c r="R321" s="7330"/>
      <c r="S321" s="7330"/>
      <c r="T321" s="7330"/>
      <c r="U321" s="7330"/>
      <c r="V321" s="7330"/>
      <c r="W321" s="7330"/>
      <c r="X321" s="7330"/>
      <c r="Y321" s="7330"/>
      <c r="Z321" s="7330"/>
      <c r="AA321" s="7330"/>
      <c r="AB321" s="7330"/>
      <c r="AC321" s="7330"/>
      <c r="AD321" s="7330"/>
      <c r="AE321" s="7330"/>
      <c r="AF321" s="7330"/>
      <c r="AG321" s="7330"/>
      <c r="AH321" s="7330">
        <v>0</v>
      </c>
    </row>
    <row s="62286" customFormat="1" customHeight="1" ht="14.25">
      <c r="A322" s="8094"/>
      <c r="B322" s="8094"/>
      <c r="C322" s="9344"/>
      <c r="D322" s="9345"/>
      <c r="E322" s="9346"/>
      <c r="F322" s="9346"/>
      <c r="G322" s="9346"/>
      <c r="H322" s="7448" t="s">
        <v>104</v>
      </c>
      <c r="I322" s="9324">
        <v>46023</v>
      </c>
      <c r="J322" s="9325">
        <v>46387</v>
      </c>
      <c r="K322" s="9364">
        <v>21.29</v>
      </c>
      <c r="L322" s="7450" t="s">
        <v>381</v>
      </c>
      <c r="M322" s="7985"/>
      <c r="N322" s="9349"/>
      <c r="O322" s="8100"/>
      <c r="P322" s="8100"/>
      <c r="Q322" s="7330"/>
      <c r="R322" s="7330"/>
      <c r="S322" s="7330"/>
      <c r="T322" s="7330"/>
      <c r="U322" s="7330"/>
      <c r="V322" s="7330"/>
      <c r="W322" s="7330"/>
      <c r="X322" s="7330"/>
      <c r="Y322" s="7330"/>
      <c r="Z322" s="7330"/>
      <c r="AA322" s="7330"/>
      <c r="AB322" s="7330"/>
      <c r="AC322" s="7330"/>
      <c r="AD322" s="7330"/>
      <c r="AE322" s="7330"/>
      <c r="AF322" s="7330"/>
      <c r="AG322" s="7330"/>
      <c r="AH322" s="7330">
        <v>0</v>
      </c>
    </row>
    <row s="62286" customFormat="1" customHeight="1" ht="14.25">
      <c r="A323" s="8094"/>
      <c r="B323" s="8094"/>
      <c r="C323" s="9344"/>
      <c r="D323" s="9345"/>
      <c r="E323" s="9346"/>
      <c r="F323" s="9346"/>
      <c r="G323" s="9346"/>
      <c r="H323" s="7448" t="s">
        <v>104</v>
      </c>
      <c r="I323" s="9324">
        <v>46388</v>
      </c>
      <c r="J323" s="9325">
        <v>46752</v>
      </c>
      <c r="K323" s="9364">
        <v>21.96</v>
      </c>
      <c r="L323" s="7450" t="s">
        <v>381</v>
      </c>
      <c r="M323" s="7985"/>
      <c r="N323" s="9349"/>
      <c r="O323" s="8100"/>
      <c r="P323" s="8100"/>
      <c r="Q323" s="7330"/>
      <c r="R323" s="7330"/>
      <c r="S323" s="7330"/>
      <c r="T323" s="7330"/>
      <c r="U323" s="7330"/>
      <c r="V323" s="7330"/>
      <c r="W323" s="7330"/>
      <c r="X323" s="7330"/>
      <c r="Y323" s="7330"/>
      <c r="Z323" s="7330"/>
      <c r="AA323" s="7330"/>
      <c r="AB323" s="7330"/>
      <c r="AC323" s="7330"/>
      <c r="AD323" s="7330"/>
      <c r="AE323" s="7330"/>
      <c r="AF323" s="7330"/>
      <c r="AG323" s="7330"/>
      <c r="AH323" s="7330">
        <v>0</v>
      </c>
    </row>
    <row s="62286" customFormat="1" customHeight="1" ht="14.25">
      <c r="A324" s="8094"/>
      <c r="B324" s="8094"/>
      <c r="C324" s="9344"/>
      <c r="D324" s="9345"/>
      <c r="E324" s="9346"/>
      <c r="F324" s="9346"/>
      <c r="G324" s="9346"/>
      <c r="H324" s="7448" t="s">
        <v>104</v>
      </c>
      <c r="I324" s="9324">
        <v>46753</v>
      </c>
      <c r="J324" s="9325">
        <v>47118</v>
      </c>
      <c r="K324" s="9364">
        <v>21.96</v>
      </c>
      <c r="L324" s="7450" t="s">
        <v>381</v>
      </c>
      <c r="M324" s="7985"/>
      <c r="N324" s="9349"/>
      <c r="O324" s="8100"/>
      <c r="P324" s="8100"/>
      <c r="Q324" s="7330"/>
      <c r="R324" s="7330"/>
      <c r="S324" s="7330"/>
      <c r="T324" s="7330"/>
      <c r="U324" s="7330"/>
      <c r="V324" s="7330"/>
      <c r="W324" s="7330"/>
      <c r="X324" s="7330"/>
      <c r="Y324" s="7330"/>
      <c r="Z324" s="7330"/>
      <c r="AA324" s="7330"/>
      <c r="AB324" s="7330"/>
      <c r="AC324" s="7330"/>
      <c r="AD324" s="7330"/>
      <c r="AE324" s="7330"/>
      <c r="AF324" s="7330"/>
      <c r="AG324" s="7330"/>
      <c r="AH324" s="7330">
        <v>0</v>
      </c>
    </row>
    <row s="62286" customFormat="1" customHeight="1" ht="18.75">
      <c r="A325" s="4421"/>
      <c r="B325" s="4421"/>
      <c r="C325" s="5479" t="s">
        <v>1219</v>
      </c>
      <c r="D325" s="5480"/>
      <c r="E325" s="5481"/>
      <c r="F325" s="5481"/>
      <c r="G325" s="5482"/>
      <c r="H325" s="5518"/>
      <c r="I325" s="5519" t="s">
        <v>1218</v>
      </c>
      <c r="J325" s="5520"/>
      <c r="K325" s="5521"/>
      <c r="L325" s="5522"/>
      <c r="M325" s="5487"/>
      <c r="N325" s="5488"/>
      <c r="O325" s="4431"/>
      <c r="P325" s="4431"/>
      <c r="Q325" s="4432"/>
      <c r="R325" s="4432"/>
      <c r="S325" s="4432"/>
      <c r="T325" s="4432"/>
      <c r="U325" s="4432"/>
      <c r="V325" s="4432"/>
      <c r="W325" s="4432"/>
      <c r="X325" s="4432"/>
      <c r="Y325" s="4432"/>
      <c r="Z325" s="4432"/>
      <c r="AA325" s="4432"/>
      <c r="AB325" s="4432"/>
      <c r="AC325" s="4432"/>
      <c r="AD325" s="4432"/>
      <c r="AE325" s="4432"/>
      <c r="AF325" s="4432"/>
      <c r="AG325" s="4432"/>
      <c r="AH325" s="4432">
        <v>0</v>
      </c>
    </row>
    <row s="62286" customFormat="1" customHeight="1" ht="0.75">
      <c r="A326" s="2472"/>
      <c r="B326" s="2472"/>
      <c r="C326" s="1061" t="s">
        <v>1228</v>
      </c>
      <c r="D326" s="3154"/>
      <c r="E326" s="2896"/>
      <c r="F326" s="3075"/>
      <c r="G326" s="1092"/>
      <c r="H326" s="2192"/>
      <c r="I326" s="1343"/>
      <c r="J326" s="1263"/>
      <c r="K326" s="2192"/>
      <c r="L326" s="906"/>
      <c r="M326" s="1033"/>
      <c r="N326" s="1026"/>
      <c r="O326" s="2316"/>
      <c r="P326" s="2316"/>
      <c r="AH326" s="2323">
        <v>0</v>
      </c>
    </row>
    <row s="62286" customFormat="1" customHeight="1" ht="14.25">
      <c r="A327" s="2472" t="s">
        <v>240</v>
      </c>
      <c r="B327" s="2472" t="s">
        <v>241</v>
      </c>
      <c r="C327" s="1061"/>
      <c r="D327" s="3154"/>
      <c r="E327" s="2896"/>
      <c r="F327" s="3075" t="str">
        <f>INDEX(PT_DIFFERENTIATION_VTAR,MATCH(A327,PT_DIFFERENTIATION_VTAR_ID,0))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27" s="3119" t="str">
        <f>INDEX(PT_DIFFERENTIATION_NTAR,MATCH(B327,PT_DIFFERENTIATION_NTAR_ID,0))</f>
        <v>Тарифы на горячую воду в открытых системах теплоснабжения (горячего водоснабжения) на территории Артемовского городского округа</v>
      </c>
      <c r="H327" s="2554"/>
      <c r="I327" s="9324">
        <v>45292</v>
      </c>
      <c r="J327" s="2465">
        <v>45657</v>
      </c>
      <c r="K327" s="2470">
        <v>123.68</v>
      </c>
      <c r="L327" s="2554" t="s">
        <v>381</v>
      </c>
      <c r="M327" s="1033"/>
      <c r="N327" s="1026"/>
      <c r="O327" s="2316"/>
      <c r="P327" s="2316"/>
      <c r="AH327" s="2323">
        <v>0</v>
      </c>
    </row>
    <row s="62286" customFormat="1" customHeight="1" ht="14.25">
      <c r="A328" s="8094"/>
      <c r="B328" s="8094"/>
      <c r="C328" s="9344"/>
      <c r="D328" s="9345"/>
      <c r="E328" s="9346"/>
      <c r="F328" s="9346"/>
      <c r="G328" s="9346"/>
      <c r="H328" s="7448" t="s">
        <v>104</v>
      </c>
      <c r="I328" s="9324">
        <v>45658</v>
      </c>
      <c r="J328" s="9325">
        <v>46022</v>
      </c>
      <c r="K328" s="9364">
        <v>112.85</v>
      </c>
      <c r="L328" s="7450" t="s">
        <v>381</v>
      </c>
      <c r="M328" s="7985"/>
      <c r="N328" s="9349"/>
      <c r="O328" s="8100"/>
      <c r="P328" s="8100"/>
      <c r="Q328" s="7330"/>
      <c r="R328" s="7330"/>
      <c r="S328" s="7330"/>
      <c r="T328" s="7330"/>
      <c r="U328" s="7330"/>
      <c r="V328" s="7330"/>
      <c r="W328" s="7330"/>
      <c r="X328" s="7330"/>
      <c r="Y328" s="7330"/>
      <c r="Z328" s="7330"/>
      <c r="AA328" s="7330"/>
      <c r="AB328" s="7330"/>
      <c r="AC328" s="7330"/>
      <c r="AD328" s="7330"/>
      <c r="AE328" s="7330"/>
      <c r="AF328" s="7330"/>
      <c r="AG328" s="7330"/>
      <c r="AH328" s="7330">
        <v>0</v>
      </c>
    </row>
    <row s="62286" customFormat="1" customHeight="1" ht="14.25">
      <c r="A329" s="8094"/>
      <c r="B329" s="8094"/>
      <c r="C329" s="9344"/>
      <c r="D329" s="9345"/>
      <c r="E329" s="9346"/>
      <c r="F329" s="9346"/>
      <c r="G329" s="9346"/>
      <c r="H329" s="7448" t="s">
        <v>104</v>
      </c>
      <c r="I329" s="9324">
        <v>46023</v>
      </c>
      <c r="J329" s="9325">
        <v>46387</v>
      </c>
      <c r="K329" s="9364">
        <v>111.51</v>
      </c>
      <c r="L329" s="7450" t="s">
        <v>381</v>
      </c>
      <c r="M329" s="7985"/>
      <c r="N329" s="9349"/>
      <c r="O329" s="8100"/>
      <c r="P329" s="8100"/>
      <c r="Q329" s="7330"/>
      <c r="R329" s="7330"/>
      <c r="S329" s="7330"/>
      <c r="T329" s="7330"/>
      <c r="U329" s="7330"/>
      <c r="V329" s="7330"/>
      <c r="W329" s="7330"/>
      <c r="X329" s="7330"/>
      <c r="Y329" s="7330"/>
      <c r="Z329" s="7330"/>
      <c r="AA329" s="7330"/>
      <c r="AB329" s="7330"/>
      <c r="AC329" s="7330"/>
      <c r="AD329" s="7330"/>
      <c r="AE329" s="7330"/>
      <c r="AF329" s="7330"/>
      <c r="AG329" s="7330"/>
      <c r="AH329" s="7330">
        <v>0</v>
      </c>
    </row>
    <row s="62286" customFormat="1" customHeight="1" ht="14.25">
      <c r="A330" s="8094"/>
      <c r="B330" s="8094"/>
      <c r="C330" s="9344"/>
      <c r="D330" s="9345"/>
      <c r="E330" s="9346"/>
      <c r="F330" s="9346"/>
      <c r="G330" s="9346"/>
      <c r="H330" s="7448" t="s">
        <v>104</v>
      </c>
      <c r="I330" s="9324">
        <v>46388</v>
      </c>
      <c r="J330" s="9325">
        <v>46752</v>
      </c>
      <c r="K330" s="9364">
        <v>123.68</v>
      </c>
      <c r="L330" s="7450" t="s">
        <v>381</v>
      </c>
      <c r="M330" s="7985"/>
      <c r="N330" s="9349"/>
      <c r="O330" s="8100"/>
      <c r="P330" s="8100"/>
      <c r="Q330" s="7330"/>
      <c r="R330" s="7330"/>
      <c r="S330" s="7330"/>
      <c r="T330" s="7330"/>
      <c r="U330" s="7330"/>
      <c r="V330" s="7330"/>
      <c r="W330" s="7330"/>
      <c r="X330" s="7330"/>
      <c r="Y330" s="7330"/>
      <c r="Z330" s="7330"/>
      <c r="AA330" s="7330"/>
      <c r="AB330" s="7330"/>
      <c r="AC330" s="7330"/>
      <c r="AD330" s="7330"/>
      <c r="AE330" s="7330"/>
      <c r="AF330" s="7330"/>
      <c r="AG330" s="7330"/>
      <c r="AH330" s="7330">
        <v>0</v>
      </c>
    </row>
    <row s="62286" customFormat="1" customHeight="1" ht="14.25">
      <c r="A331" s="8094"/>
      <c r="B331" s="8094"/>
      <c r="C331" s="9344"/>
      <c r="D331" s="9345"/>
      <c r="E331" s="9346"/>
      <c r="F331" s="9346"/>
      <c r="G331" s="9346"/>
      <c r="H331" s="7448" t="s">
        <v>104</v>
      </c>
      <c r="I331" s="9324">
        <v>46753</v>
      </c>
      <c r="J331" s="9325">
        <v>47118</v>
      </c>
      <c r="K331" s="9364">
        <v>123.68</v>
      </c>
      <c r="L331" s="7450" t="s">
        <v>381</v>
      </c>
      <c r="M331" s="7985"/>
      <c r="N331" s="9349"/>
      <c r="O331" s="8100"/>
      <c r="P331" s="8100"/>
      <c r="Q331" s="7330"/>
      <c r="R331" s="7330"/>
      <c r="S331" s="7330"/>
      <c r="T331" s="7330"/>
      <c r="U331" s="7330"/>
      <c r="V331" s="7330"/>
      <c r="W331" s="7330"/>
      <c r="X331" s="7330"/>
      <c r="Y331" s="7330"/>
      <c r="Z331" s="7330"/>
      <c r="AA331" s="7330"/>
      <c r="AB331" s="7330"/>
      <c r="AC331" s="7330"/>
      <c r="AD331" s="7330"/>
      <c r="AE331" s="7330"/>
      <c r="AF331" s="7330"/>
      <c r="AG331" s="7330"/>
      <c r="AH331" s="7330">
        <v>0</v>
      </c>
    </row>
    <row s="62286" customFormat="1" customHeight="1" ht="14.25">
      <c r="A332" s="2472"/>
      <c r="B332" s="2472"/>
      <c r="C332" s="1061" t="s">
        <v>1219</v>
      </c>
      <c r="D332" s="3154"/>
      <c r="E332" s="2896"/>
      <c r="F332" s="3075"/>
      <c r="G332" s="3119"/>
      <c r="H332" s="2192"/>
      <c r="I332" s="1343" t="s">
        <v>1218</v>
      </c>
      <c r="J332" s="1263"/>
      <c r="K332" s="2192"/>
      <c r="L332" s="906"/>
      <c r="M332" s="1033"/>
      <c r="N332" s="1026"/>
      <c r="O332" s="2316"/>
      <c r="P332" s="2316"/>
      <c r="AH332" s="2323">
        <v>0</v>
      </c>
    </row>
    <row s="62286" customFormat="1" customHeight="1" ht="14.25">
      <c r="A333" s="8094" t="s">
        <v>240</v>
      </c>
      <c r="B333" s="8094" t="s">
        <v>246</v>
      </c>
      <c r="C333" s="9344"/>
      <c r="D333" s="9345"/>
      <c r="E333" s="9346"/>
      <c r="F333" s="9346"/>
      <c r="G333" s="9347" t="str">
        <f>INDEX(PT_DIFFERENTIATION_NTAR,MATCH(B333,PT_DIFFERENTIATION_NTAR_ID,0))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333" s="7450"/>
      <c r="I333" s="9324">
        <v>45292</v>
      </c>
      <c r="J333" s="9325">
        <v>45657</v>
      </c>
      <c r="K333" s="9364">
        <v>8495.45</v>
      </c>
      <c r="L333" s="7450" t="s">
        <v>381</v>
      </c>
      <c r="M333" s="7985"/>
      <c r="N333" s="9349"/>
      <c r="O333" s="8100"/>
      <c r="P333" s="8100"/>
      <c r="Q333" s="7330"/>
      <c r="R333" s="7330"/>
      <c r="S333" s="7330"/>
      <c r="T333" s="7330"/>
      <c r="U333" s="7330"/>
      <c r="V333" s="7330"/>
      <c r="W333" s="7330"/>
      <c r="X333" s="7330"/>
      <c r="Y333" s="7330"/>
      <c r="Z333" s="7330"/>
      <c r="AA333" s="7330"/>
      <c r="AB333" s="7330"/>
      <c r="AC333" s="7330"/>
      <c r="AD333" s="7330"/>
      <c r="AE333" s="7330"/>
      <c r="AF333" s="7330"/>
      <c r="AG333" s="7330"/>
      <c r="AH333" s="7330">
        <v>0</v>
      </c>
    </row>
    <row s="62286" customFormat="1" customHeight="1" ht="14.25">
      <c r="A334" s="8094"/>
      <c r="B334" s="8094"/>
      <c r="C334" s="9344"/>
      <c r="D334" s="9345"/>
      <c r="E334" s="9346"/>
      <c r="F334" s="9346"/>
      <c r="G334" s="9346"/>
      <c r="H334" s="7448" t="s">
        <v>104</v>
      </c>
      <c r="I334" s="9324">
        <v>45658</v>
      </c>
      <c r="J334" s="9325">
        <v>46022</v>
      </c>
      <c r="K334" s="9364">
        <v>8504.28</v>
      </c>
      <c r="L334" s="7450" t="s">
        <v>381</v>
      </c>
      <c r="M334" s="7985"/>
      <c r="N334" s="9349"/>
      <c r="O334" s="8100"/>
      <c r="P334" s="8100"/>
      <c r="Q334" s="7330"/>
      <c r="R334" s="7330"/>
      <c r="S334" s="7330"/>
      <c r="T334" s="7330"/>
      <c r="U334" s="7330"/>
      <c r="V334" s="7330"/>
      <c r="W334" s="7330"/>
      <c r="X334" s="7330"/>
      <c r="Y334" s="7330"/>
      <c r="Z334" s="7330"/>
      <c r="AA334" s="7330"/>
      <c r="AB334" s="7330"/>
      <c r="AC334" s="7330"/>
      <c r="AD334" s="7330"/>
      <c r="AE334" s="7330"/>
      <c r="AF334" s="7330"/>
      <c r="AG334" s="7330"/>
      <c r="AH334" s="7330">
        <v>0</v>
      </c>
    </row>
    <row s="62286" customFormat="1" customHeight="1" ht="14.25">
      <c r="A335" s="8094"/>
      <c r="B335" s="8094"/>
      <c r="C335" s="9344"/>
      <c r="D335" s="9345"/>
      <c r="E335" s="9346"/>
      <c r="F335" s="9346"/>
      <c r="G335" s="9346"/>
      <c r="H335" s="7448" t="s">
        <v>104</v>
      </c>
      <c r="I335" s="9324">
        <v>46023</v>
      </c>
      <c r="J335" s="9325">
        <v>46387</v>
      </c>
      <c r="K335" s="9364">
        <v>8474.87</v>
      </c>
      <c r="L335" s="7450" t="s">
        <v>381</v>
      </c>
      <c r="M335" s="7985"/>
      <c r="N335" s="9349"/>
      <c r="O335" s="8100"/>
      <c r="P335" s="8100"/>
      <c r="Q335" s="7330"/>
      <c r="R335" s="7330"/>
      <c r="S335" s="7330"/>
      <c r="T335" s="7330"/>
      <c r="U335" s="7330"/>
      <c r="V335" s="7330"/>
      <c r="W335" s="7330"/>
      <c r="X335" s="7330"/>
      <c r="Y335" s="7330"/>
      <c r="Z335" s="7330"/>
      <c r="AA335" s="7330"/>
      <c r="AB335" s="7330"/>
      <c r="AC335" s="7330"/>
      <c r="AD335" s="7330"/>
      <c r="AE335" s="7330"/>
      <c r="AF335" s="7330"/>
      <c r="AG335" s="7330"/>
      <c r="AH335" s="7330">
        <v>0</v>
      </c>
    </row>
    <row s="62286" customFormat="1" customHeight="1" ht="14.25">
      <c r="A336" s="8094"/>
      <c r="B336" s="8094"/>
      <c r="C336" s="9344"/>
      <c r="D336" s="9345"/>
      <c r="E336" s="9346"/>
      <c r="F336" s="9346"/>
      <c r="G336" s="9346"/>
      <c r="H336" s="7448" t="s">
        <v>104</v>
      </c>
      <c r="I336" s="9324">
        <v>46388</v>
      </c>
      <c r="J336" s="9325">
        <v>46752</v>
      </c>
      <c r="K336" s="9364">
        <v>8495.45</v>
      </c>
      <c r="L336" s="7450" t="s">
        <v>381</v>
      </c>
      <c r="M336" s="7985"/>
      <c r="N336" s="9349"/>
      <c r="O336" s="8100"/>
      <c r="P336" s="8100"/>
      <c r="Q336" s="7330"/>
      <c r="R336" s="7330"/>
      <c r="S336" s="7330"/>
      <c r="T336" s="7330"/>
      <c r="U336" s="7330"/>
      <c r="V336" s="7330"/>
      <c r="W336" s="7330"/>
      <c r="X336" s="7330"/>
      <c r="Y336" s="7330"/>
      <c r="Z336" s="7330"/>
      <c r="AA336" s="7330"/>
      <c r="AB336" s="7330"/>
      <c r="AC336" s="7330"/>
      <c r="AD336" s="7330"/>
      <c r="AE336" s="7330"/>
      <c r="AF336" s="7330"/>
      <c r="AG336" s="7330"/>
      <c r="AH336" s="7330">
        <v>0</v>
      </c>
    </row>
    <row s="62286" customFormat="1" customHeight="1" ht="14.25">
      <c r="A337" s="8094"/>
      <c r="B337" s="8094"/>
      <c r="C337" s="9344"/>
      <c r="D337" s="9345"/>
      <c r="E337" s="9346"/>
      <c r="F337" s="9346"/>
      <c r="G337" s="9346"/>
      <c r="H337" s="7448" t="s">
        <v>104</v>
      </c>
      <c r="I337" s="9324">
        <v>46753</v>
      </c>
      <c r="J337" s="9325">
        <v>47118</v>
      </c>
      <c r="K337" s="9364">
        <v>8495.45</v>
      </c>
      <c r="L337" s="7450" t="s">
        <v>381</v>
      </c>
      <c r="M337" s="7985"/>
      <c r="N337" s="9349"/>
      <c r="O337" s="8100"/>
      <c r="P337" s="8100"/>
      <c r="Q337" s="7330"/>
      <c r="R337" s="7330"/>
      <c r="S337" s="7330"/>
      <c r="T337" s="7330"/>
      <c r="U337" s="7330"/>
      <c r="V337" s="7330"/>
      <c r="W337" s="7330"/>
      <c r="X337" s="7330"/>
      <c r="Y337" s="7330"/>
      <c r="Z337" s="7330"/>
      <c r="AA337" s="7330"/>
      <c r="AB337" s="7330"/>
      <c r="AC337" s="7330"/>
      <c r="AD337" s="7330"/>
      <c r="AE337" s="7330"/>
      <c r="AF337" s="7330"/>
      <c r="AG337" s="7330"/>
      <c r="AH337" s="7330">
        <v>0</v>
      </c>
    </row>
    <row s="62286" customFormat="1" customHeight="1" ht="14.25">
      <c r="A338" s="8094"/>
      <c r="B338" s="8094"/>
      <c r="C338" s="9344" t="s">
        <v>1219</v>
      </c>
      <c r="D338" s="9345"/>
      <c r="E338" s="9346"/>
      <c r="F338" s="9346"/>
      <c r="G338" s="9347"/>
      <c r="H338" s="9397"/>
      <c r="I338" s="9398" t="s">
        <v>1218</v>
      </c>
      <c r="J338" s="9399"/>
      <c r="K338" s="9400"/>
      <c r="L338" s="9401"/>
      <c r="M338" s="7985"/>
      <c r="N338" s="9349"/>
      <c r="O338" s="8100"/>
      <c r="P338" s="8100"/>
      <c r="Q338" s="7330"/>
      <c r="R338" s="7330"/>
      <c r="S338" s="7330"/>
      <c r="T338" s="7330"/>
      <c r="U338" s="7330"/>
      <c r="V338" s="7330"/>
      <c r="W338" s="7330"/>
      <c r="X338" s="7330"/>
      <c r="Y338" s="7330"/>
      <c r="Z338" s="7330"/>
      <c r="AA338" s="7330"/>
      <c r="AB338" s="7330"/>
      <c r="AC338" s="7330"/>
      <c r="AD338" s="7330"/>
      <c r="AE338" s="7330"/>
      <c r="AF338" s="7330"/>
      <c r="AG338" s="7330"/>
      <c r="AH338" s="7330">
        <v>0</v>
      </c>
    </row>
    <row s="62286" customFormat="1" customHeight="1" ht="14.25">
      <c r="A339" s="8094" t="s">
        <v>240</v>
      </c>
      <c r="B339" s="8094" t="s">
        <v>251</v>
      </c>
      <c r="C339" s="9344"/>
      <c r="D339" s="9345"/>
      <c r="E339" s="9346"/>
      <c r="F339" s="9346"/>
      <c r="G339" s="9347" t="str">
        <f>INDEX(PT_DIFFERENTIATION_NTAR,MATCH(B339,PT_DIFFERENTIATION_NTAR_ID,0))</f>
        <v>Тарифы на горячую воду в открытых системах теплоснабжения (горячего водоснабжения) на территории Партизанского городского округа</v>
      </c>
      <c r="H339" s="7450"/>
      <c r="I339" s="9324">
        <v>45292</v>
      </c>
      <c r="J339" s="9325">
        <v>45657</v>
      </c>
      <c r="K339" s="9364">
        <v>21.96</v>
      </c>
      <c r="L339" s="7450" t="s">
        <v>381</v>
      </c>
      <c r="M339" s="7985"/>
      <c r="N339" s="9349"/>
      <c r="O339" s="8100"/>
      <c r="P339" s="8100"/>
      <c r="Q339" s="7330"/>
      <c r="R339" s="7330"/>
      <c r="S339" s="7330"/>
      <c r="T339" s="7330"/>
      <c r="U339" s="7330"/>
      <c r="V339" s="7330"/>
      <c r="W339" s="7330"/>
      <c r="X339" s="7330"/>
      <c r="Y339" s="7330"/>
      <c r="Z339" s="7330"/>
      <c r="AA339" s="7330"/>
      <c r="AB339" s="7330"/>
      <c r="AC339" s="7330"/>
      <c r="AD339" s="7330"/>
      <c r="AE339" s="7330"/>
      <c r="AF339" s="7330"/>
      <c r="AG339" s="7330"/>
      <c r="AH339" s="7330">
        <v>0</v>
      </c>
    </row>
    <row s="62286" customFormat="1" customHeight="1" ht="14.25">
      <c r="A340" s="8094"/>
      <c r="B340" s="8094"/>
      <c r="C340" s="9344"/>
      <c r="D340" s="9345"/>
      <c r="E340" s="9346"/>
      <c r="F340" s="9346"/>
      <c r="G340" s="9346"/>
      <c r="H340" s="7448" t="s">
        <v>104</v>
      </c>
      <c r="I340" s="9324">
        <v>45658</v>
      </c>
      <c r="J340" s="9325">
        <v>46022</v>
      </c>
      <c r="K340" s="9364">
        <v>20.2</v>
      </c>
      <c r="L340" s="7450" t="s">
        <v>381</v>
      </c>
      <c r="M340" s="7985"/>
      <c r="N340" s="9349"/>
      <c r="O340" s="8100"/>
      <c r="P340" s="8100"/>
      <c r="Q340" s="7330"/>
      <c r="R340" s="7330"/>
      <c r="S340" s="7330"/>
      <c r="T340" s="7330"/>
      <c r="U340" s="7330"/>
      <c r="V340" s="7330"/>
      <c r="W340" s="7330"/>
      <c r="X340" s="7330"/>
      <c r="Y340" s="7330"/>
      <c r="Z340" s="7330"/>
      <c r="AA340" s="7330"/>
      <c r="AB340" s="7330"/>
      <c r="AC340" s="7330"/>
      <c r="AD340" s="7330"/>
      <c r="AE340" s="7330"/>
      <c r="AF340" s="7330"/>
      <c r="AG340" s="7330"/>
      <c r="AH340" s="7330">
        <v>0</v>
      </c>
    </row>
    <row s="62286" customFormat="1" customHeight="1" ht="14.25">
      <c r="A341" s="8094"/>
      <c r="B341" s="8094"/>
      <c r="C341" s="9344"/>
      <c r="D341" s="9345"/>
      <c r="E341" s="9346"/>
      <c r="F341" s="9346"/>
      <c r="G341" s="9346"/>
      <c r="H341" s="7448" t="s">
        <v>104</v>
      </c>
      <c r="I341" s="9324">
        <v>46023</v>
      </c>
      <c r="J341" s="9325">
        <v>46387</v>
      </c>
      <c r="K341" s="9364">
        <v>21.29</v>
      </c>
      <c r="L341" s="7450" t="s">
        <v>381</v>
      </c>
      <c r="M341" s="7985"/>
      <c r="N341" s="9349"/>
      <c r="O341" s="8100"/>
      <c r="P341" s="8100"/>
      <c r="Q341" s="7330"/>
      <c r="R341" s="7330"/>
      <c r="S341" s="7330"/>
      <c r="T341" s="7330"/>
      <c r="U341" s="7330"/>
      <c r="V341" s="7330"/>
      <c r="W341" s="7330"/>
      <c r="X341" s="7330"/>
      <c r="Y341" s="7330"/>
      <c r="Z341" s="7330"/>
      <c r="AA341" s="7330"/>
      <c r="AB341" s="7330"/>
      <c r="AC341" s="7330"/>
      <c r="AD341" s="7330"/>
      <c r="AE341" s="7330"/>
      <c r="AF341" s="7330"/>
      <c r="AG341" s="7330"/>
      <c r="AH341" s="7330">
        <v>0</v>
      </c>
    </row>
    <row s="62286" customFormat="1" customHeight="1" ht="14.25">
      <c r="A342" s="8094"/>
      <c r="B342" s="8094"/>
      <c r="C342" s="9344"/>
      <c r="D342" s="9345"/>
      <c r="E342" s="9346"/>
      <c r="F342" s="9346"/>
      <c r="G342" s="9346"/>
      <c r="H342" s="7448" t="s">
        <v>104</v>
      </c>
      <c r="I342" s="9324">
        <v>46388</v>
      </c>
      <c r="J342" s="9325">
        <v>46752</v>
      </c>
      <c r="K342" s="9364">
        <v>21.96</v>
      </c>
      <c r="L342" s="7450" t="s">
        <v>381</v>
      </c>
      <c r="M342" s="7985"/>
      <c r="N342" s="9349"/>
      <c r="O342" s="8100"/>
      <c r="P342" s="8100"/>
      <c r="Q342" s="7330"/>
      <c r="R342" s="7330"/>
      <c r="S342" s="7330"/>
      <c r="T342" s="7330"/>
      <c r="U342" s="7330"/>
      <c r="V342" s="7330"/>
      <c r="W342" s="7330"/>
      <c r="X342" s="7330"/>
      <c r="Y342" s="7330"/>
      <c r="Z342" s="7330"/>
      <c r="AA342" s="7330"/>
      <c r="AB342" s="7330"/>
      <c r="AC342" s="7330"/>
      <c r="AD342" s="7330"/>
      <c r="AE342" s="7330"/>
      <c r="AF342" s="7330"/>
      <c r="AG342" s="7330"/>
      <c r="AH342" s="7330">
        <v>0</v>
      </c>
    </row>
    <row s="62286" customFormat="1" customHeight="1" ht="14.25">
      <c r="A343" s="8094"/>
      <c r="B343" s="8094"/>
      <c r="C343" s="9344"/>
      <c r="D343" s="9345"/>
      <c r="E343" s="9346"/>
      <c r="F343" s="9346"/>
      <c r="G343" s="9346"/>
      <c r="H343" s="7448" t="s">
        <v>104</v>
      </c>
      <c r="I343" s="9324">
        <v>46753</v>
      </c>
      <c r="J343" s="9325">
        <v>47118</v>
      </c>
      <c r="K343" s="9364">
        <v>21.96</v>
      </c>
      <c r="L343" s="7450" t="s">
        <v>381</v>
      </c>
      <c r="M343" s="7985"/>
      <c r="N343" s="9349"/>
      <c r="O343" s="8100"/>
      <c r="P343" s="8100"/>
      <c r="Q343" s="7330"/>
      <c r="R343" s="7330"/>
      <c r="S343" s="7330"/>
      <c r="T343" s="7330"/>
      <c r="U343" s="7330"/>
      <c r="V343" s="7330"/>
      <c r="W343" s="7330"/>
      <c r="X343" s="7330"/>
      <c r="Y343" s="7330"/>
      <c r="Z343" s="7330"/>
      <c r="AA343" s="7330"/>
      <c r="AB343" s="7330"/>
      <c r="AC343" s="7330"/>
      <c r="AD343" s="7330"/>
      <c r="AE343" s="7330"/>
      <c r="AF343" s="7330"/>
      <c r="AG343" s="7330"/>
      <c r="AH343" s="7330">
        <v>0</v>
      </c>
    </row>
    <row s="62286" customFormat="1" customHeight="1" ht="18.75">
      <c r="A344" s="8094"/>
      <c r="B344" s="8094"/>
      <c r="C344" s="9344" t="s">
        <v>1219</v>
      </c>
      <c r="D344" s="9345"/>
      <c r="E344" s="9346"/>
      <c r="F344" s="9346"/>
      <c r="G344" s="9347"/>
      <c r="H344" s="9402"/>
      <c r="I344" s="9403" t="s">
        <v>1218</v>
      </c>
      <c r="J344" s="9404"/>
      <c r="K344" s="9405"/>
      <c r="L344" s="9406"/>
      <c r="M344" s="7985"/>
      <c r="N344" s="9349"/>
      <c r="O344" s="8100"/>
      <c r="P344" s="8100"/>
      <c r="Q344" s="7330"/>
      <c r="R344" s="7330"/>
      <c r="S344" s="7330"/>
      <c r="T344" s="7330"/>
      <c r="U344" s="7330"/>
      <c r="V344" s="7330"/>
      <c r="W344" s="7330"/>
      <c r="X344" s="7330"/>
      <c r="Y344" s="7330"/>
      <c r="Z344" s="7330"/>
      <c r="AA344" s="7330"/>
      <c r="AB344" s="7330"/>
      <c r="AC344" s="7330"/>
      <c r="AD344" s="7330"/>
      <c r="AE344" s="7330"/>
      <c r="AF344" s="7330"/>
      <c r="AG344" s="7330"/>
      <c r="AH344" s="7330">
        <v>0</v>
      </c>
    </row>
    <row s="62286" customFormat="1" customHeight="1" ht="0.75">
      <c r="A345" s="2472"/>
      <c r="B345" s="2472"/>
      <c r="C345" s="1061" t="s">
        <v>1228</v>
      </c>
      <c r="D345" s="3154"/>
      <c r="E345" s="2896"/>
      <c r="F345" s="3075"/>
      <c r="G345" s="1092"/>
      <c r="H345" s="2192"/>
      <c r="I345" s="1343"/>
      <c r="J345" s="1263"/>
      <c r="K345" s="2192"/>
      <c r="L345" s="906"/>
      <c r="M345" s="1033"/>
      <c r="N345" s="1026"/>
      <c r="O345" s="2316"/>
      <c r="P345" s="2316"/>
      <c r="AH345" s="2323">
        <v>0</v>
      </c>
    </row>
    <row s="62286" customFormat="1" customHeight="1" ht="18.75" hidden="1">
      <c r="A346" s="2472" t="s">
        <v>256</v>
      </c>
      <c r="B346" s="2472" t="s">
        <v>257</v>
      </c>
      <c r="C346" s="1061"/>
      <c r="D346" s="3154"/>
      <c r="E346" s="2896"/>
      <c r="F346" s="3075" t="str">
        <f>INDEX(PT_DIFFERENTIATION_VTAR,MATCH(A346,PT_DIFFERENTIATION_VTAR_ID,0))</f>
        <v>Тарифы на услуги по передаче тепловой энергии</v>
      </c>
      <c r="G346" s="3119" t="str">
        <f>INDEX(PT_DIFFERENTIATION_NTAR,MATCH(B346,PT_DIFFERENTIATION_NTAR_ID,0))</f>
        <v/>
      </c>
      <c r="H346" s="2554"/>
      <c r="I346" s="2431"/>
      <c r="J346" s="2465"/>
      <c r="K346" s="2470"/>
      <c r="L346" s="2554" t="s">
        <v>381</v>
      </c>
      <c r="M346" s="1033"/>
      <c r="N346" s="1026"/>
      <c r="O346" s="2316"/>
      <c r="P346" s="2316"/>
      <c r="AH346" s="2323">
        <v>0</v>
      </c>
    </row>
    <row s="62286" customFormat="1" customHeight="1" ht="18.75" hidden="1">
      <c r="A347" s="2472"/>
      <c r="B347" s="2472"/>
      <c r="C347" s="1061" t="s">
        <v>1219</v>
      </c>
      <c r="D347" s="3154"/>
      <c r="E347" s="2896"/>
      <c r="F347" s="3075"/>
      <c r="G347" s="3119"/>
      <c r="H347" s="2192"/>
      <c r="I347" s="1343" t="s">
        <v>1218</v>
      </c>
      <c r="J347" s="1263"/>
      <c r="K347" s="2192"/>
      <c r="L347" s="906"/>
      <c r="M347" s="1033"/>
      <c r="N347" s="1026"/>
      <c r="O347" s="2316"/>
      <c r="P347" s="2316"/>
      <c r="AH347" s="2323">
        <v>0</v>
      </c>
    </row>
    <row s="62286" customFormat="1" customHeight="1" ht="0.75" hidden="1">
      <c r="A348" s="2472"/>
      <c r="B348" s="2472"/>
      <c r="C348" s="1061" t="s">
        <v>1228</v>
      </c>
      <c r="D348" s="3154"/>
      <c r="E348" s="2896"/>
      <c r="F348" s="3075"/>
      <c r="G348" s="1092"/>
      <c r="H348" s="2192"/>
      <c r="I348" s="1343"/>
      <c r="J348" s="1263"/>
      <c r="K348" s="2192"/>
      <c r="L348" s="906"/>
      <c r="M348" s="1033"/>
      <c r="N348" s="1026"/>
      <c r="O348" s="2316"/>
      <c r="P348" s="2316"/>
      <c r="AH348" s="2323">
        <v>0</v>
      </c>
    </row>
    <row s="62286" customFormat="1" customHeight="1" ht="18.75" hidden="1">
      <c r="A349" s="2472" t="s">
        <v>262</v>
      </c>
      <c r="B349" s="2472" t="s">
        <v>263</v>
      </c>
      <c r="C349" s="1061"/>
      <c r="D349" s="3154"/>
      <c r="E349" s="2896"/>
      <c r="F349" s="3075" t="str">
        <f>INDEX(PT_DIFFERENTIATION_VTAR,MATCH(A349,PT_DIFFERENTIATION_VTAR_ID,0))</f>
        <v>Тарифы на услуги по передаче теплоносителя</v>
      </c>
      <c r="G349" s="3119" t="str">
        <f>INDEX(PT_DIFFERENTIATION_NTAR,MATCH(B349,PT_DIFFERENTIATION_NTAR_ID,0))</f>
        <v/>
      </c>
      <c r="H349" s="2554"/>
      <c r="I349" s="2431"/>
      <c r="J349" s="2465"/>
      <c r="K349" s="2470"/>
      <c r="L349" s="2554" t="s">
        <v>381</v>
      </c>
      <c r="M349" s="1033"/>
      <c r="N349" s="1026"/>
      <c r="O349" s="2316"/>
      <c r="P349" s="2316"/>
      <c r="AH349" s="2323">
        <v>0</v>
      </c>
    </row>
    <row s="62286" customFormat="1" customHeight="1" ht="18.75" hidden="1">
      <c r="A350" s="2472"/>
      <c r="B350" s="2472"/>
      <c r="C350" s="1061" t="s">
        <v>1219</v>
      </c>
      <c r="D350" s="3154"/>
      <c r="E350" s="2896"/>
      <c r="F350" s="3075"/>
      <c r="G350" s="3119"/>
      <c r="H350" s="2192"/>
      <c r="I350" s="1343" t="s">
        <v>1218</v>
      </c>
      <c r="J350" s="1263"/>
      <c r="K350" s="2192"/>
      <c r="L350" s="906"/>
      <c r="M350" s="1033"/>
      <c r="N350" s="1026"/>
      <c r="O350" s="2316"/>
      <c r="P350" s="2316"/>
      <c r="AH350" s="2323">
        <v>0</v>
      </c>
    </row>
    <row s="62286" customFormat="1" customHeight="1" ht="0.75" hidden="1">
      <c r="A351" s="2472"/>
      <c r="B351" s="2472"/>
      <c r="C351" s="1061" t="s">
        <v>1228</v>
      </c>
      <c r="D351" s="3154"/>
      <c r="E351" s="2896"/>
      <c r="F351" s="3075"/>
      <c r="G351" s="1092"/>
      <c r="H351" s="2192"/>
      <c r="I351" s="1343"/>
      <c r="J351" s="1263"/>
      <c r="K351" s="2192"/>
      <c r="L351" s="906"/>
      <c r="M351" s="1033"/>
      <c r="N351" s="1026"/>
      <c r="O351" s="2316"/>
      <c r="P351" s="2316"/>
      <c r="AH351" s="2323">
        <v>0</v>
      </c>
    </row>
    <row s="62286" customFormat="1" customHeight="1" ht="18.75" hidden="1">
      <c r="A352" s="2472" t="s">
        <v>268</v>
      </c>
      <c r="B352" s="2472" t="s">
        <v>269</v>
      </c>
      <c r="C352" s="1061"/>
      <c r="D352" s="3154"/>
      <c r="E352" s="2896"/>
      <c r="F352" s="3075" t="str">
        <f>INDEX(PT_DIFFERENTIATION_VTAR,MATCH(A352,PT_DIFFERENTIATION_VTAR_ID,0))</f>
        <v>Плата за услуги по поддержанию резервной тепловой мощности при отсутствии потребления тепловой энергии</v>
      </c>
      <c r="G352" s="3119" t="str">
        <f>INDEX(PT_DIFFERENTIATION_NTAR,MATCH(B352,PT_DIFFERENTIATION_NTAR_ID,0))</f>
        <v/>
      </c>
      <c r="H352" s="2554"/>
      <c r="I352" s="2431"/>
      <c r="J352" s="2465"/>
      <c r="K352" s="2470"/>
      <c r="L352" s="2554" t="s">
        <v>381</v>
      </c>
      <c r="M352" s="1033"/>
      <c r="N352" s="1026"/>
      <c r="O352" s="2316"/>
      <c r="P352" s="2316"/>
      <c r="AH352" s="2323">
        <v>0</v>
      </c>
    </row>
    <row s="62286" customFormat="1" customHeight="1" ht="18.75" hidden="1">
      <c r="A353" s="2472"/>
      <c r="B353" s="2472"/>
      <c r="C353" s="1061" t="s">
        <v>1219</v>
      </c>
      <c r="D353" s="3154"/>
      <c r="E353" s="2896"/>
      <c r="F353" s="3075"/>
      <c r="G353" s="3119"/>
      <c r="H353" s="2192"/>
      <c r="I353" s="1343" t="s">
        <v>1218</v>
      </c>
      <c r="J353" s="1263"/>
      <c r="K353" s="2192"/>
      <c r="L353" s="906"/>
      <c r="M353" s="1033"/>
      <c r="N353" s="1026"/>
      <c r="O353" s="2316"/>
      <c r="P353" s="2316"/>
      <c r="AH353" s="2323">
        <v>0</v>
      </c>
    </row>
    <row s="62286" customFormat="1" customHeight="1" ht="0.75" hidden="1">
      <c r="A354" s="2472"/>
      <c r="B354" s="2472"/>
      <c r="C354" s="1061" t="s">
        <v>1228</v>
      </c>
      <c r="D354" s="3154"/>
      <c r="E354" s="2896"/>
      <c r="F354" s="3075"/>
      <c r="G354" s="1092"/>
      <c r="H354" s="2192"/>
      <c r="I354" s="1343"/>
      <c r="J354" s="1263"/>
      <c r="K354" s="2192"/>
      <c r="L354" s="906"/>
      <c r="M354" s="1033"/>
      <c r="N354" s="1026"/>
      <c r="O354" s="2316"/>
      <c r="P354" s="2316"/>
      <c r="AH354" s="2323">
        <v>0</v>
      </c>
    </row>
    <row s="62286" customFormat="1" customHeight="1" ht="18.75" hidden="1">
      <c r="A355" s="2472" t="s">
        <v>274</v>
      </c>
      <c r="B355" s="2472" t="s">
        <v>275</v>
      </c>
      <c r="C355" s="1061"/>
      <c r="D355" s="3154"/>
      <c r="E355" s="2896"/>
      <c r="F355" s="3075" t="str">
        <f>INDEX(PT_DIFFERENTIATION_VTAR,MATCH(A355,PT_DIFFERENTIATION_VTAR_ID,0))</f>
        <v>Плата за подключение (технологическое присоединение) к системе теплоснабжения</v>
      </c>
      <c r="G355" s="3119" t="str">
        <f>INDEX(PT_DIFFERENTIATION_NTAR,MATCH(B355,PT_DIFFERENTIATION_NTAR_ID,0))</f>
        <v/>
      </c>
      <c r="H355" s="2554"/>
      <c r="I355" s="2431"/>
      <c r="J355" s="2465"/>
      <c r="K355" s="2470"/>
      <c r="L355" s="2554" t="s">
        <v>381</v>
      </c>
      <c r="M355" s="1033"/>
      <c r="N355" s="1026"/>
      <c r="O355" s="2316"/>
      <c r="P355" s="2316"/>
      <c r="AH355" s="2323">
        <v>0</v>
      </c>
    </row>
    <row s="62286" customFormat="1" customHeight="1" ht="18.75" hidden="1">
      <c r="A356" s="2472"/>
      <c r="B356" s="2472"/>
      <c r="C356" s="1061" t="s">
        <v>1219</v>
      </c>
      <c r="D356" s="3154"/>
      <c r="E356" s="2896"/>
      <c r="F356" s="3075"/>
      <c r="G356" s="3119"/>
      <c r="H356" s="2192"/>
      <c r="I356" s="1343" t="s">
        <v>1218</v>
      </c>
      <c r="J356" s="1263"/>
      <c r="K356" s="2192"/>
      <c r="L356" s="906"/>
      <c r="M356" s="1033"/>
      <c r="N356" s="1026"/>
      <c r="O356" s="2316"/>
      <c r="P356" s="2316"/>
      <c r="AH356" s="2323">
        <v>0</v>
      </c>
    </row>
    <row s="62286" customFormat="1" customHeight="1" ht="0.75" hidden="1">
      <c r="A357" s="2472"/>
      <c r="B357" s="2472"/>
      <c r="C357" s="1061" t="s">
        <v>1228</v>
      </c>
      <c r="D357" s="3154"/>
      <c r="E357" s="2896"/>
      <c r="F357" s="3075"/>
      <c r="G357" s="1092"/>
      <c r="H357" s="2192"/>
      <c r="I357" s="1343"/>
      <c r="J357" s="1263"/>
      <c r="K357" s="2192"/>
      <c r="L357" s="906"/>
      <c r="M357" s="1033"/>
      <c r="N357" s="1026"/>
      <c r="O357" s="2316"/>
      <c r="P357" s="2316"/>
      <c r="AH357" s="2323">
        <v>0</v>
      </c>
    </row>
    <row s="62286" customFormat="1" customHeight="1" ht="18.75" hidden="1">
      <c r="A358" s="2472" t="s">
        <v>280</v>
      </c>
      <c r="B358" s="2472" t="s">
        <v>281</v>
      </c>
      <c r="C358" s="1061"/>
      <c r="D358" s="3154"/>
      <c r="E358" s="2896"/>
      <c r="F358" s="3075" t="str">
        <f>INDEX(PT_DIFFERENTIATION_VTAR,MATCH(A358,PT_DIFFERENTIATION_VTAR_ID,0))</f>
        <v>Плата за подключение (технологическое присоединение) к системе теплоснабжения (индивидуальная)</v>
      </c>
      <c r="G358" s="3119" t="str">
        <f>INDEX(PT_DIFFERENTIATION_NTAR,MATCH(B358,PT_DIFFERENTIATION_NTAR_ID,0))</f>
        <v/>
      </c>
      <c r="H358" s="2681"/>
      <c r="I358" s="2431"/>
      <c r="J358" s="2465"/>
      <c r="K358" s="2470"/>
      <c r="L358" s="2681" t="s">
        <v>381</v>
      </c>
      <c r="M358" s="1033"/>
      <c r="N358" s="1026"/>
      <c r="O358" s="2316"/>
      <c r="P358" s="2316"/>
      <c r="AH358" s="2323">
        <v>0</v>
      </c>
    </row>
    <row s="62286" customFormat="1" customHeight="1" ht="18.75" hidden="1">
      <c r="A359" s="2472"/>
      <c r="B359" s="2472"/>
      <c r="C359" s="1061" t="s">
        <v>1219</v>
      </c>
      <c r="D359" s="3154"/>
      <c r="E359" s="2896"/>
      <c r="F359" s="3075"/>
      <c r="G359" s="3119"/>
      <c r="H359" s="2192"/>
      <c r="I359" s="1343" t="s">
        <v>1218</v>
      </c>
      <c r="J359" s="1263"/>
      <c r="K359" s="2192"/>
      <c r="L359" s="906"/>
      <c r="M359" s="1033"/>
      <c r="N359" s="1026"/>
      <c r="O359" s="2316"/>
      <c r="P359" s="2316"/>
      <c r="AH359" s="2323">
        <v>0</v>
      </c>
    </row>
    <row s="62286" customFormat="1" customHeight="1" ht="0.75" hidden="1">
      <c r="A360" s="2472"/>
      <c r="B360" s="2472"/>
      <c r="C360" s="1061" t="s">
        <v>1228</v>
      </c>
      <c r="D360" s="3154"/>
      <c r="E360" s="2896"/>
      <c r="F360" s="3075"/>
      <c r="G360" s="1092"/>
      <c r="H360" s="2192"/>
      <c r="I360" s="1343"/>
      <c r="J360" s="1263"/>
      <c r="K360" s="2192"/>
      <c r="L360" s="906"/>
      <c r="M360" s="1033"/>
      <c r="N360" s="1026"/>
      <c r="O360" s="2316"/>
      <c r="P360" s="2316"/>
      <c r="AH360" s="2323">
        <v>0</v>
      </c>
    </row>
    <row s="62286" customFormat="1" customHeight="1" ht="18.75" hidden="1">
      <c r="A361" s="2472" t="s">
        <v>300</v>
      </c>
      <c r="B361" s="2472" t="s">
        <v>301</v>
      </c>
      <c r="C361" s="1061"/>
      <c r="D361" s="3154"/>
      <c r="E361" s="2896"/>
      <c r="F361" s="3075" t="str">
        <f>INDEX(PT_DIFFERENTIATION_VTAR,MATCH(A361,PT_DIFFERENTIATION_VTAR_ID,0))</f>
        <v>Тариф на питьевую воду (питьевое водоснабжение)</v>
      </c>
      <c r="G361" s="3119" t="str">
        <f>INDEX(PT_DIFFERENTIATION_NTAR,MATCH(B361,PT_DIFFERENTIATION_NTAR_ID,0))</f>
        <v/>
      </c>
      <c r="H361" s="2554"/>
      <c r="I361" s="2431"/>
      <c r="J361" s="2465"/>
      <c r="K361" s="2470"/>
      <c r="L361" s="2554" t="s">
        <v>381</v>
      </c>
      <c r="M361" s="1033"/>
      <c r="N361" s="1026"/>
      <c r="O361" s="2316"/>
      <c r="P361" s="2316"/>
      <c r="AH361" s="2323">
        <v>0</v>
      </c>
    </row>
    <row s="62286" customFormat="1" customHeight="1" ht="18.75" hidden="1">
      <c r="A362" s="2472"/>
      <c r="B362" s="2472"/>
      <c r="C362" s="1061" t="s">
        <v>1219</v>
      </c>
      <c r="D362" s="3154"/>
      <c r="E362" s="2896"/>
      <c r="F362" s="3075"/>
      <c r="G362" s="3119"/>
      <c r="H362" s="2192"/>
      <c r="I362" s="1343" t="s">
        <v>1218</v>
      </c>
      <c r="J362" s="1263"/>
      <c r="K362" s="2192"/>
      <c r="L362" s="906"/>
      <c r="M362" s="1033"/>
      <c r="N362" s="1026"/>
      <c r="O362" s="2316"/>
      <c r="P362" s="2316"/>
      <c r="AH362" s="2323">
        <v>0</v>
      </c>
    </row>
    <row s="62286" customFormat="1" customHeight="1" ht="0.75" hidden="1">
      <c r="A363" s="2472"/>
      <c r="B363" s="2472"/>
      <c r="C363" s="1061" t="s">
        <v>1228</v>
      </c>
      <c r="D363" s="3154"/>
      <c r="E363" s="2896"/>
      <c r="F363" s="3075"/>
      <c r="G363" s="1092"/>
      <c r="H363" s="2192"/>
      <c r="I363" s="1343"/>
      <c r="J363" s="1263"/>
      <c r="K363" s="2192"/>
      <c r="L363" s="906"/>
      <c r="M363" s="1033"/>
      <c r="N363" s="1026"/>
      <c r="O363" s="2316"/>
      <c r="P363" s="2316"/>
      <c r="AH363" s="2323">
        <v>0</v>
      </c>
    </row>
    <row s="62286" customFormat="1" customHeight="1" ht="18.75" hidden="1">
      <c r="A364" s="2472" t="s">
        <v>305</v>
      </c>
      <c r="B364" s="2472" t="s">
        <v>306</v>
      </c>
      <c r="C364" s="1061"/>
      <c r="D364" s="3154"/>
      <c r="E364" s="2896"/>
      <c r="F364" s="3075" t="str">
        <f>INDEX(PT_DIFFERENTIATION_VTAR,MATCH(A364,PT_DIFFERENTIATION_VTAR_ID,0))</f>
        <v>Тариф на техническую воду</v>
      </c>
      <c r="G364" s="3119" t="str">
        <f>INDEX(PT_DIFFERENTIATION_NTAR,MATCH(B364,PT_DIFFERENTIATION_NTAR_ID,0))</f>
        <v/>
      </c>
      <c r="H364" s="2554"/>
      <c r="I364" s="2431"/>
      <c r="J364" s="2465"/>
      <c r="K364" s="2470"/>
      <c r="L364" s="2554" t="s">
        <v>381</v>
      </c>
      <c r="M364" s="1033"/>
      <c r="N364" s="1026"/>
      <c r="O364" s="2316"/>
      <c r="P364" s="2316"/>
      <c r="AH364" s="2323">
        <v>0</v>
      </c>
    </row>
    <row s="62286" customFormat="1" customHeight="1" ht="18.75" hidden="1">
      <c r="A365" s="2472"/>
      <c r="B365" s="2472"/>
      <c r="C365" s="1061" t="s">
        <v>1219</v>
      </c>
      <c r="D365" s="3154"/>
      <c r="E365" s="2896"/>
      <c r="F365" s="3075"/>
      <c r="G365" s="3119"/>
      <c r="H365" s="2192"/>
      <c r="I365" s="1343" t="s">
        <v>1218</v>
      </c>
      <c r="J365" s="1263"/>
      <c r="K365" s="2192"/>
      <c r="L365" s="906"/>
      <c r="M365" s="1033"/>
      <c r="N365" s="1026"/>
      <c r="O365" s="2316"/>
      <c r="P365" s="2316"/>
      <c r="AH365" s="2323">
        <v>0</v>
      </c>
    </row>
    <row s="62286" customFormat="1" customHeight="1" ht="0.75" hidden="1">
      <c r="A366" s="2472"/>
      <c r="B366" s="2472"/>
      <c r="C366" s="1061" t="s">
        <v>1228</v>
      </c>
      <c r="D366" s="3154"/>
      <c r="E366" s="2896"/>
      <c r="F366" s="3075"/>
      <c r="G366" s="1092"/>
      <c r="H366" s="2192"/>
      <c r="I366" s="1343"/>
      <c r="J366" s="1263"/>
      <c r="K366" s="2192"/>
      <c r="L366" s="906"/>
      <c r="M366" s="1033"/>
      <c r="N366" s="1026"/>
      <c r="O366" s="2316"/>
      <c r="P366" s="2316"/>
      <c r="AH366" s="2323">
        <v>0</v>
      </c>
    </row>
    <row s="62286" customFormat="1" customHeight="1" ht="18.75" hidden="1">
      <c r="A367" s="2472" t="s">
        <v>310</v>
      </c>
      <c r="B367" s="2472" t="s">
        <v>311</v>
      </c>
      <c r="C367" s="1061"/>
      <c r="D367" s="3154"/>
      <c r="E367" s="2896"/>
      <c r="F367" s="3075" t="str">
        <f>INDEX(PT_DIFFERENTIATION_VTAR,MATCH(A367,PT_DIFFERENTIATION_VTAR_ID,0))</f>
        <v>Тариф на транспортировку воды</v>
      </c>
      <c r="G367" s="3119" t="str">
        <f>INDEX(PT_DIFFERENTIATION_NTAR,MATCH(B367,PT_DIFFERENTIATION_NTAR_ID,0))</f>
        <v/>
      </c>
      <c r="H367" s="2554"/>
      <c r="I367" s="2431"/>
      <c r="J367" s="2465"/>
      <c r="K367" s="2470"/>
      <c r="L367" s="2554" t="s">
        <v>381</v>
      </c>
      <c r="M367" s="1033"/>
      <c r="N367" s="1026"/>
      <c r="O367" s="2316"/>
      <c r="P367" s="2316"/>
      <c r="AH367" s="2323">
        <v>0</v>
      </c>
    </row>
    <row s="62286" customFormat="1" customHeight="1" ht="18.75" hidden="1">
      <c r="A368" s="2472"/>
      <c r="B368" s="2472"/>
      <c r="C368" s="1061" t="s">
        <v>1219</v>
      </c>
      <c r="D368" s="3154"/>
      <c r="E368" s="2896"/>
      <c r="F368" s="3075"/>
      <c r="G368" s="3119"/>
      <c r="H368" s="2192"/>
      <c r="I368" s="1343" t="s">
        <v>1218</v>
      </c>
      <c r="J368" s="1263"/>
      <c r="K368" s="2192"/>
      <c r="L368" s="906"/>
      <c r="M368" s="1033"/>
      <c r="N368" s="1026"/>
      <c r="O368" s="2316"/>
      <c r="P368" s="2316"/>
      <c r="AH368" s="2323">
        <v>0</v>
      </c>
    </row>
    <row s="62286" customFormat="1" customHeight="1" ht="0.75" hidden="1">
      <c r="A369" s="2472"/>
      <c r="B369" s="2472"/>
      <c r="C369" s="1061" t="s">
        <v>1228</v>
      </c>
      <c r="D369" s="3154"/>
      <c r="E369" s="2896"/>
      <c r="F369" s="3075"/>
      <c r="G369" s="1092"/>
      <c r="H369" s="2192"/>
      <c r="I369" s="1343"/>
      <c r="J369" s="1263"/>
      <c r="K369" s="2192"/>
      <c r="L369" s="906"/>
      <c r="M369" s="1033"/>
      <c r="N369" s="1026"/>
      <c r="O369" s="2316"/>
      <c r="P369" s="2316"/>
      <c r="AH369" s="2323">
        <v>0</v>
      </c>
    </row>
    <row s="62286" customFormat="1" customHeight="1" ht="18.75" hidden="1">
      <c r="A370" s="2472" t="s">
        <v>315</v>
      </c>
      <c r="B370" s="2472" t="s">
        <v>316</v>
      </c>
      <c r="C370" s="1061"/>
      <c r="D370" s="3154"/>
      <c r="E370" s="2896"/>
      <c r="F370" s="3075" t="str">
        <f>INDEX(PT_DIFFERENTIATION_VTAR,MATCH(A370,PT_DIFFERENTIATION_VTAR_ID,0))</f>
        <v>Тариф на подвоз воды</v>
      </c>
      <c r="G370" s="3119" t="str">
        <f>INDEX(PT_DIFFERENTIATION_NTAR,MATCH(B370,PT_DIFFERENTIATION_NTAR_ID,0))</f>
        <v/>
      </c>
      <c r="H370" s="2554"/>
      <c r="I370" s="2431"/>
      <c r="J370" s="2465"/>
      <c r="K370" s="2470"/>
      <c r="L370" s="2554" t="s">
        <v>381</v>
      </c>
      <c r="M370" s="1033"/>
      <c r="N370" s="1026"/>
      <c r="O370" s="2316"/>
      <c r="P370" s="2316"/>
      <c r="AH370" s="2323">
        <v>0</v>
      </c>
    </row>
    <row s="62286" customFormat="1" customHeight="1" ht="18.75" hidden="1">
      <c r="A371" s="2472"/>
      <c r="B371" s="2472"/>
      <c r="C371" s="1061" t="s">
        <v>1219</v>
      </c>
      <c r="D371" s="3154"/>
      <c r="E371" s="2896"/>
      <c r="F371" s="3075"/>
      <c r="G371" s="3119"/>
      <c r="H371" s="2192"/>
      <c r="I371" s="1343" t="s">
        <v>1218</v>
      </c>
      <c r="J371" s="1263"/>
      <c r="K371" s="2192"/>
      <c r="L371" s="906"/>
      <c r="M371" s="1033"/>
      <c r="N371" s="1026"/>
      <c r="O371" s="2316"/>
      <c r="P371" s="2316"/>
      <c r="AH371" s="2323">
        <v>0</v>
      </c>
    </row>
    <row s="62286" customFormat="1" customHeight="1" ht="0.75" hidden="1">
      <c r="A372" s="2472"/>
      <c r="B372" s="2472"/>
      <c r="C372" s="1061" t="s">
        <v>1228</v>
      </c>
      <c r="D372" s="3154"/>
      <c r="E372" s="2896"/>
      <c r="F372" s="3075"/>
      <c r="G372" s="1092"/>
      <c r="H372" s="2192"/>
      <c r="I372" s="1343"/>
      <c r="J372" s="1263"/>
      <c r="K372" s="2192"/>
      <c r="L372" s="906"/>
      <c r="M372" s="1033"/>
      <c r="N372" s="1026"/>
      <c r="O372" s="2316"/>
      <c r="P372" s="2316"/>
      <c r="AH372" s="2323">
        <v>0</v>
      </c>
    </row>
    <row s="62286" customFormat="1" customHeight="1" ht="18.75" hidden="1">
      <c r="A373" s="2472" t="s">
        <v>320</v>
      </c>
      <c r="B373" s="2472" t="s">
        <v>321</v>
      </c>
      <c r="C373" s="1061"/>
      <c r="D373" s="3154"/>
      <c r="E373" s="2896"/>
      <c r="F373" s="3075" t="str">
        <f>INDEX(PT_DIFFERENTIATION_VTAR,MATCH(A373,PT_DIFFERENTIATION_VTAR_ID,0))</f>
        <v>Тариф на подключение (технологическое присоединение) к централизованной системе холодного водоснабжения</v>
      </c>
      <c r="G373" s="3119" t="str">
        <f>INDEX(PT_DIFFERENTIATION_NTAR,MATCH(B373,PT_DIFFERENTIATION_NTAR_ID,0))</f>
        <v/>
      </c>
      <c r="H373" s="2554"/>
      <c r="I373" s="2431"/>
      <c r="J373" s="2465"/>
      <c r="K373" s="2470"/>
      <c r="L373" s="2554" t="s">
        <v>381</v>
      </c>
      <c r="M373" s="1033"/>
      <c r="N373" s="1026"/>
      <c r="O373" s="2316"/>
      <c r="P373" s="2316"/>
      <c r="AH373" s="2323">
        <v>0</v>
      </c>
    </row>
    <row s="62286" customFormat="1" customHeight="1" ht="18.75" hidden="1">
      <c r="A374" s="2472"/>
      <c r="B374" s="2472"/>
      <c r="C374" s="1061" t="s">
        <v>1219</v>
      </c>
      <c r="D374" s="3154"/>
      <c r="E374" s="2896"/>
      <c r="F374" s="3075"/>
      <c r="G374" s="3119"/>
      <c r="H374" s="2192"/>
      <c r="I374" s="1343" t="s">
        <v>1218</v>
      </c>
      <c r="J374" s="1263"/>
      <c r="K374" s="2192"/>
      <c r="L374" s="906"/>
      <c r="M374" s="1033"/>
      <c r="N374" s="1026"/>
      <c r="O374" s="2316"/>
      <c r="P374" s="2316"/>
      <c r="AH374" s="2323">
        <v>0</v>
      </c>
    </row>
    <row s="62286" customFormat="1" customHeight="1" ht="0.75" hidden="1">
      <c r="A375" s="2472"/>
      <c r="B375" s="2472"/>
      <c r="C375" s="1061" t="s">
        <v>1228</v>
      </c>
      <c r="D375" s="3154"/>
      <c r="E375" s="2896"/>
      <c r="F375" s="3075"/>
      <c r="G375" s="1092"/>
      <c r="H375" s="2192"/>
      <c r="I375" s="1343"/>
      <c r="J375" s="1263"/>
      <c r="K375" s="2192"/>
      <c r="L375" s="906"/>
      <c r="M375" s="1033"/>
      <c r="N375" s="1026"/>
      <c r="O375" s="2316"/>
      <c r="P375" s="2316"/>
      <c r="AH375" s="2323">
        <v>0</v>
      </c>
    </row>
    <row s="62286" customFormat="1" customHeight="1" ht="18.75" hidden="1">
      <c r="A376" s="2472" t="s">
        <v>325</v>
      </c>
      <c r="B376" s="2472" t="s">
        <v>326</v>
      </c>
      <c r="C376" s="1061"/>
      <c r="D376" s="3154"/>
      <c r="E376" s="2896"/>
      <c r="F376" s="3075" t="str">
        <f>INDEX(PT_DIFFERENTIATION_VTAR,MATCH(A376,PT_DIFFERENTIATION_VTAR_ID,0))</f>
        <v>Тариф на горячую воду (горячее водоснабжение)</v>
      </c>
      <c r="G376" s="3119" t="str">
        <f>INDEX(PT_DIFFERENTIATION_NTAR,MATCH(B376,PT_DIFFERENTIATION_NTAR_ID,0))</f>
        <v/>
      </c>
      <c r="H376" s="2554"/>
      <c r="I376" s="2431"/>
      <c r="J376" s="2465"/>
      <c r="K376" s="2470"/>
      <c r="L376" s="2554" t="s">
        <v>381</v>
      </c>
      <c r="M376" s="1033"/>
      <c r="N376" s="1026"/>
      <c r="O376" s="2316"/>
      <c r="P376" s="2316"/>
      <c r="AH376" s="2323">
        <v>0</v>
      </c>
    </row>
    <row s="62286" customFormat="1" customHeight="1" ht="18.75" hidden="1">
      <c r="A377" s="2472"/>
      <c r="B377" s="2472"/>
      <c r="C377" s="1061" t="s">
        <v>1219</v>
      </c>
      <c r="D377" s="3154"/>
      <c r="E377" s="2896"/>
      <c r="F377" s="3075"/>
      <c r="G377" s="3119"/>
      <c r="H377" s="2192"/>
      <c r="I377" s="1343" t="s">
        <v>1218</v>
      </c>
      <c r="J377" s="1263"/>
      <c r="K377" s="2192"/>
      <c r="L377" s="906"/>
      <c r="M377" s="1033"/>
      <c r="N377" s="1026"/>
      <c r="O377" s="2316"/>
      <c r="P377" s="2316"/>
      <c r="AH377" s="2323">
        <v>0</v>
      </c>
    </row>
    <row s="62286" customFormat="1" customHeight="1" ht="0.75" hidden="1">
      <c r="A378" s="2472"/>
      <c r="B378" s="2472"/>
      <c r="C378" s="1061" t="s">
        <v>1228</v>
      </c>
      <c r="D378" s="3154"/>
      <c r="E378" s="2896"/>
      <c r="F378" s="3075"/>
      <c r="G378" s="1092"/>
      <c r="H378" s="2192"/>
      <c r="I378" s="1343"/>
      <c r="J378" s="1263"/>
      <c r="K378" s="2192"/>
      <c r="L378" s="906"/>
      <c r="M378" s="1033"/>
      <c r="N378" s="1026"/>
      <c r="O378" s="2316"/>
      <c r="P378" s="2316"/>
      <c r="AH378" s="2323">
        <v>0</v>
      </c>
    </row>
    <row s="62286" customFormat="1" customHeight="1" ht="18.75" hidden="1">
      <c r="A379" s="2472" t="s">
        <v>330</v>
      </c>
      <c r="B379" s="2472" t="s">
        <v>331</v>
      </c>
      <c r="C379" s="1061"/>
      <c r="D379" s="3154"/>
      <c r="E379" s="2896"/>
      <c r="F379" s="3075" t="str">
        <f>INDEX(PT_DIFFERENTIATION_VTAR,MATCH(A379,PT_DIFFERENTIATION_VTAR_ID,0))</f>
        <v>Тариф на транспортировку горячей воды</v>
      </c>
      <c r="G379" s="3119" t="str">
        <f>INDEX(PT_DIFFERENTIATION_NTAR,MATCH(B379,PT_DIFFERENTIATION_NTAR_ID,0))</f>
        <v/>
      </c>
      <c r="H379" s="2554"/>
      <c r="I379" s="2431"/>
      <c r="J379" s="2465"/>
      <c r="K379" s="2470"/>
      <c r="L379" s="2554" t="s">
        <v>381</v>
      </c>
      <c r="M379" s="1033"/>
      <c r="N379" s="1026"/>
      <c r="O379" s="2316"/>
      <c r="P379" s="2316"/>
      <c r="AH379" s="2323">
        <v>0</v>
      </c>
    </row>
    <row s="62286" customFormat="1" customHeight="1" ht="18.75" hidden="1">
      <c r="A380" s="2472"/>
      <c r="B380" s="2472"/>
      <c r="C380" s="1061" t="s">
        <v>1219</v>
      </c>
      <c r="D380" s="3154"/>
      <c r="E380" s="2896"/>
      <c r="F380" s="3075"/>
      <c r="G380" s="3119"/>
      <c r="H380" s="2192"/>
      <c r="I380" s="1343" t="s">
        <v>1218</v>
      </c>
      <c r="J380" s="1263"/>
      <c r="K380" s="2192"/>
      <c r="L380" s="906"/>
      <c r="M380" s="1033"/>
      <c r="N380" s="1026"/>
      <c r="O380" s="2316"/>
      <c r="P380" s="2316"/>
      <c r="AH380" s="2323">
        <v>0</v>
      </c>
    </row>
    <row s="62286" customFormat="1" customHeight="1" ht="0.75" hidden="1">
      <c r="A381" s="2472"/>
      <c r="B381" s="2472"/>
      <c r="C381" s="1061" t="s">
        <v>1228</v>
      </c>
      <c r="D381" s="3154"/>
      <c r="E381" s="2896"/>
      <c r="F381" s="3075"/>
      <c r="G381" s="1092"/>
      <c r="H381" s="2192"/>
      <c r="I381" s="1343"/>
      <c r="J381" s="1263"/>
      <c r="K381" s="2192"/>
      <c r="L381" s="906"/>
      <c r="M381" s="1033"/>
      <c r="N381" s="1026"/>
      <c r="O381" s="2316"/>
      <c r="P381" s="2316"/>
      <c r="AH381" s="2323">
        <v>0</v>
      </c>
    </row>
    <row s="62286" customFormat="1" customHeight="1" ht="18.75" hidden="1">
      <c r="A382" s="2472" t="s">
        <v>335</v>
      </c>
      <c r="B382" s="2472" t="s">
        <v>336</v>
      </c>
      <c r="C382" s="1061"/>
      <c r="D382" s="3154"/>
      <c r="E382" s="2896"/>
      <c r="F382" s="3075" t="str">
        <f>INDEX(PT_DIFFERENTIATION_VTAR,MATCH(A382,PT_DIFFERENTIATION_VTAR_ID,0))</f>
        <v>Тариф на подключение (технологическое присоединение) к централизованной системе горячего водоснабжения</v>
      </c>
      <c r="G382" s="3119" t="str">
        <f>INDEX(PT_DIFFERENTIATION_NTAR,MATCH(B382,PT_DIFFERENTIATION_NTAR_ID,0))</f>
        <v/>
      </c>
      <c r="H382" s="2554"/>
      <c r="I382" s="2431"/>
      <c r="J382" s="2465"/>
      <c r="K382" s="2470"/>
      <c r="L382" s="2554" t="s">
        <v>381</v>
      </c>
      <c r="M382" s="1033"/>
      <c r="N382" s="1026"/>
      <c r="O382" s="2316"/>
      <c r="P382" s="2316"/>
      <c r="AH382" s="2323">
        <v>0</v>
      </c>
    </row>
    <row s="62286" customFormat="1" customHeight="1" ht="18.75" hidden="1">
      <c r="A383" s="2472"/>
      <c r="B383" s="2472"/>
      <c r="C383" s="1061" t="s">
        <v>1219</v>
      </c>
      <c r="D383" s="3154"/>
      <c r="E383" s="2896"/>
      <c r="F383" s="3075"/>
      <c r="G383" s="3119"/>
      <c r="H383" s="2192"/>
      <c r="I383" s="1343" t="s">
        <v>1218</v>
      </c>
      <c r="J383" s="1263"/>
      <c r="K383" s="2192"/>
      <c r="L383" s="906"/>
      <c r="M383" s="1033"/>
      <c r="N383" s="1026"/>
      <c r="O383" s="2316"/>
      <c r="P383" s="2316"/>
      <c r="AH383" s="2323">
        <v>0</v>
      </c>
    </row>
    <row s="62286" customFormat="1" customHeight="1" ht="0.75" hidden="1">
      <c r="A384" s="2472"/>
      <c r="B384" s="2472"/>
      <c r="C384" s="1061" t="s">
        <v>1228</v>
      </c>
      <c r="D384" s="3154"/>
      <c r="E384" s="2896"/>
      <c r="F384" s="3075"/>
      <c r="G384" s="1092"/>
      <c r="H384" s="2192"/>
      <c r="I384" s="1343"/>
      <c r="J384" s="1263"/>
      <c r="K384" s="2192"/>
      <c r="L384" s="906"/>
      <c r="M384" s="1033"/>
      <c r="N384" s="1026"/>
      <c r="O384" s="2316"/>
      <c r="P384" s="2316"/>
      <c r="AH384" s="2323">
        <v>0</v>
      </c>
    </row>
    <row s="62286" customFormat="1" customHeight="1" ht="18.75" hidden="1">
      <c r="A385" s="2472" t="s">
        <v>340</v>
      </c>
      <c r="B385" s="2472" t="s">
        <v>341</v>
      </c>
      <c r="C385" s="1061"/>
      <c r="D385" s="3154"/>
      <c r="E385" s="2896"/>
      <c r="F385" s="3075" t="str">
        <f>INDEX(PT_DIFFERENTIATION_VTAR,MATCH(A385,PT_DIFFERENTIATION_VTAR_ID,0))</f>
        <v>Тариф на водоотведение</v>
      </c>
      <c r="G385" s="3119" t="str">
        <f>INDEX(PT_DIFFERENTIATION_NTAR,MATCH(B385,PT_DIFFERENTIATION_NTAR_ID,0))</f>
        <v/>
      </c>
      <c r="H385" s="2554"/>
      <c r="I385" s="2431"/>
      <c r="J385" s="2465"/>
      <c r="K385" s="2470"/>
      <c r="L385" s="2554" t="s">
        <v>381</v>
      </c>
      <c r="M385" s="1033"/>
      <c r="N385" s="1026"/>
      <c r="O385" s="2316"/>
      <c r="P385" s="2316"/>
      <c r="AH385" s="2323">
        <v>0</v>
      </c>
    </row>
    <row s="62286" customFormat="1" customHeight="1" ht="18.75" hidden="1">
      <c r="A386" s="2472"/>
      <c r="B386" s="2472"/>
      <c r="C386" s="1061" t="s">
        <v>1219</v>
      </c>
      <c r="D386" s="3154"/>
      <c r="E386" s="2896"/>
      <c r="F386" s="3075"/>
      <c r="G386" s="3119"/>
      <c r="H386" s="2192"/>
      <c r="I386" s="1343" t="s">
        <v>1218</v>
      </c>
      <c r="J386" s="1263"/>
      <c r="K386" s="2192"/>
      <c r="L386" s="906"/>
      <c r="M386" s="1033"/>
      <c r="N386" s="1026"/>
      <c r="O386" s="2316"/>
      <c r="P386" s="2316"/>
      <c r="AH386" s="2323">
        <v>0</v>
      </c>
    </row>
    <row s="62286" customFormat="1" customHeight="1" ht="0.75" hidden="1">
      <c r="A387" s="2472"/>
      <c r="B387" s="2472"/>
      <c r="C387" s="1061" t="s">
        <v>1228</v>
      </c>
      <c r="D387" s="3154"/>
      <c r="E387" s="2896"/>
      <c r="F387" s="3075"/>
      <c r="G387" s="1092"/>
      <c r="H387" s="2192"/>
      <c r="I387" s="1343"/>
      <c r="J387" s="1263"/>
      <c r="K387" s="2192"/>
      <c r="L387" s="906"/>
      <c r="M387" s="1033"/>
      <c r="N387" s="1026"/>
      <c r="O387" s="2316"/>
      <c r="P387" s="2316"/>
      <c r="AH387" s="2323">
        <v>0</v>
      </c>
    </row>
    <row s="62286" customFormat="1" customHeight="1" ht="18.75" hidden="1">
      <c r="A388" s="2472" t="s">
        <v>345</v>
      </c>
      <c r="B388" s="2472" t="s">
        <v>346</v>
      </c>
      <c r="C388" s="1061"/>
      <c r="D388" s="3154"/>
      <c r="E388" s="2896"/>
      <c r="F388" s="3075" t="str">
        <f>INDEX(PT_DIFFERENTIATION_VTAR,MATCH(A388,PT_DIFFERENTIATION_VTAR_ID,0))</f>
        <v>Тариф на транспортировку сточных вод</v>
      </c>
      <c r="G388" s="3119" t="str">
        <f>INDEX(PT_DIFFERENTIATION_NTAR,MATCH(B388,PT_DIFFERENTIATION_NTAR_ID,0))</f>
        <v/>
      </c>
      <c r="H388" s="2554"/>
      <c r="I388" s="2431"/>
      <c r="J388" s="2465"/>
      <c r="K388" s="2470"/>
      <c r="L388" s="2554" t="s">
        <v>381</v>
      </c>
      <c r="M388" s="1033"/>
      <c r="N388" s="1026"/>
      <c r="O388" s="2316"/>
      <c r="P388" s="2316"/>
      <c r="AH388" s="2323">
        <v>0</v>
      </c>
    </row>
    <row s="62286" customFormat="1" customHeight="1" ht="18.75" hidden="1">
      <c r="A389" s="2472"/>
      <c r="B389" s="2472"/>
      <c r="C389" s="1061" t="s">
        <v>1219</v>
      </c>
      <c r="D389" s="3154"/>
      <c r="E389" s="2896"/>
      <c r="F389" s="3075"/>
      <c r="G389" s="3119"/>
      <c r="H389" s="2192"/>
      <c r="I389" s="1343" t="s">
        <v>1218</v>
      </c>
      <c r="J389" s="1263"/>
      <c r="K389" s="2192"/>
      <c r="L389" s="906"/>
      <c r="M389" s="1033"/>
      <c r="N389" s="1026"/>
      <c r="O389" s="2316"/>
      <c r="P389" s="2316"/>
      <c r="AH389" s="2323">
        <v>0</v>
      </c>
    </row>
    <row s="62286" customFormat="1" customHeight="1" ht="0.75" hidden="1">
      <c r="A390" s="2472"/>
      <c r="B390" s="2472"/>
      <c r="C390" s="1061" t="s">
        <v>1228</v>
      </c>
      <c r="D390" s="3154"/>
      <c r="E390" s="2896"/>
      <c r="F390" s="3075"/>
      <c r="G390" s="1092"/>
      <c r="H390" s="2192"/>
      <c r="I390" s="1343"/>
      <c r="J390" s="1263"/>
      <c r="K390" s="2192"/>
      <c r="L390" s="906"/>
      <c r="M390" s="1033"/>
      <c r="N390" s="1026"/>
      <c r="O390" s="2316"/>
      <c r="P390" s="2316"/>
      <c r="AH390" s="2323">
        <v>0</v>
      </c>
    </row>
    <row s="62286" customFormat="1" customHeight="1" ht="18.75" hidden="1">
      <c r="A391" s="2472" t="s">
        <v>350</v>
      </c>
      <c r="B391" s="2472" t="s">
        <v>351</v>
      </c>
      <c r="C391" s="1061"/>
      <c r="D391" s="3154"/>
      <c r="E391" s="2896"/>
      <c r="F391" s="3075" t="str">
        <f>INDEX(PT_DIFFERENTIATION_VTAR,MATCH(A391,PT_DIFFERENTIATION_VTAR_ID,0))</f>
        <v>Тариф на подключение (технологическое присоединение) к централизованной системе водоотведения</v>
      </c>
      <c r="G391" s="3119" t="str">
        <f>INDEX(PT_DIFFERENTIATION_NTAR,MATCH(B391,PT_DIFFERENTIATION_NTAR_ID,0))</f>
        <v/>
      </c>
      <c r="H391" s="2554"/>
      <c r="I391" s="2431"/>
      <c r="J391" s="2465"/>
      <c r="K391" s="2470"/>
      <c r="L391" s="2554" t="s">
        <v>381</v>
      </c>
      <c r="M391" s="1033"/>
      <c r="N391" s="1026"/>
      <c r="O391" s="2316"/>
      <c r="P391" s="2316"/>
      <c r="AH391" s="2323">
        <v>0</v>
      </c>
    </row>
    <row s="62286" customFormat="1" customHeight="1" ht="18.75" hidden="1">
      <c r="A392" s="2472"/>
      <c r="B392" s="2472"/>
      <c r="C392" s="1061" t="s">
        <v>1219</v>
      </c>
      <c r="D392" s="3154"/>
      <c r="E392" s="2896"/>
      <c r="F392" s="3075"/>
      <c r="G392" s="3119"/>
      <c r="H392" s="2192"/>
      <c r="I392" s="1343" t="s">
        <v>1218</v>
      </c>
      <c r="J392" s="1263"/>
      <c r="K392" s="2192"/>
      <c r="L392" s="906"/>
      <c r="M392" s="1033"/>
      <c r="N392" s="1026"/>
      <c r="O392" s="2316"/>
      <c r="P392" s="2316"/>
      <c r="AH392" s="2323">
        <v>0</v>
      </c>
    </row>
    <row s="62286" customFormat="1" customHeight="1" ht="1.05">
      <c r="A393" s="2472"/>
      <c r="B393" s="2472"/>
      <c r="C393" s="1061" t="s">
        <v>1228</v>
      </c>
      <c r="D393" s="3154"/>
      <c r="E393" s="2896"/>
      <c r="F393" s="3075"/>
      <c r="G393" s="1092"/>
      <c r="H393" s="2192"/>
      <c r="I393" s="1343"/>
      <c r="J393" s="1263"/>
      <c r="K393" s="2192"/>
      <c r="L393" s="906"/>
      <c r="M393" s="1033"/>
      <c r="N393" s="1026"/>
      <c r="O393" s="2316"/>
      <c r="P393" s="2316"/>
      <c r="AH393" s="2323">
        <v>1</v>
      </c>
    </row>
    <row customHeight="1" ht="27.299999999999997">
      <c r="A394" s="2472"/>
      <c r="B394" s="2472"/>
      <c r="D394" s="1068"/>
      <c r="E394" s="839" t="s">
        <v>119</v>
      </c>
      <c r="F394" s="315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394" s="3152"/>
      <c r="H394" s="3152"/>
      <c r="I394" s="3152"/>
      <c r="J394" s="3152"/>
      <c r="K394" s="3152"/>
      <c r="L394" s="3152"/>
      <c r="M394" s="989"/>
      <c r="N394" s="1026"/>
      <c r="AH394" s="1066">
        <v>26</v>
      </c>
    </row>
    <row s="62286" customFormat="1" customHeight="1" ht="60.75">
      <c r="A395" s="2472" t="s">
        <v>166</v>
      </c>
      <c r="B395" s="2472" t="s">
        <v>167</v>
      </c>
      <c r="C395" s="1061"/>
      <c r="D395" s="3154"/>
      <c r="E395" s="2896"/>
      <c r="F395" s="3075" t="str">
        <f>INDEX(PT_DIFFERENTIATION_VTAR,MATCH(A395,PT_DIFFERENTIATION_VTAR_ID,0))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95" s="3119" t="str">
        <f>INDEX(PT_DIFFERENTIATION_NTAR,MATCH(B395,PT_DIFFERENTIATION_NTAR_ID,0))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395" s="2554"/>
      <c r="I395" s="26819">
        <v>45292</v>
      </c>
      <c r="J395" s="26820">
        <v>47118</v>
      </c>
      <c r="K395" s="2470">
        <v>0</v>
      </c>
      <c r="L395" s="2554" t="s">
        <v>381</v>
      </c>
      <c r="M395" s="28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395" s="1026"/>
      <c r="O395" s="2316"/>
      <c r="P395" s="2316"/>
      <c r="AH395" s="2323">
        <v>0</v>
      </c>
    </row>
    <row s="62286" customFormat="1" customHeight="1" ht="18.75">
      <c r="A396" s="2472"/>
      <c r="B396" s="2472"/>
      <c r="C396" s="1061" t="s">
        <v>1219</v>
      </c>
      <c r="D396" s="3154"/>
      <c r="E396" s="2896"/>
      <c r="F396" s="3075"/>
      <c r="G396" s="3119"/>
      <c r="H396" s="2192"/>
      <c r="I396" s="1343" t="s">
        <v>1218</v>
      </c>
      <c r="J396" s="1263"/>
      <c r="K396" s="2192"/>
      <c r="L396" s="906"/>
      <c r="M396" s="2862"/>
      <c r="N396" s="1026"/>
      <c r="O396" s="2316"/>
      <c r="P396" s="2316"/>
      <c r="AH396" s="2323">
        <v>0</v>
      </c>
    </row>
    <row s="62286" customFormat="1" customHeight="1" ht="18.75">
      <c r="A397" s="23333" t="s">
        <v>166</v>
      </c>
      <c r="B397" s="23333" t="s">
        <v>176</v>
      </c>
      <c r="C397" s="26822"/>
      <c r="D397" s="26823"/>
      <c r="E397" s="26824"/>
      <c r="F397" s="26824"/>
      <c r="G397" s="26825" t="str">
        <f>INDEX(PT_DIFFERENTIATION_NTAR,MATCH(B397,PT_DIFFERENTIATION_NTAR_ID,0))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397" s="23206"/>
      <c r="I397" s="26819">
        <v>45292</v>
      </c>
      <c r="J397" s="26820">
        <v>47118</v>
      </c>
      <c r="K397" s="26910">
        <v>0</v>
      </c>
      <c r="L397" s="23206" t="s">
        <v>381</v>
      </c>
      <c r="M397" s="26827"/>
      <c r="N397" s="26828"/>
      <c r="O397" s="23339"/>
      <c r="P397" s="23339"/>
      <c r="Q397" s="22944"/>
      <c r="R397" s="22944"/>
      <c r="S397" s="22944"/>
      <c r="T397" s="22944"/>
      <c r="U397" s="22944"/>
      <c r="V397" s="22944"/>
      <c r="W397" s="22944"/>
      <c r="X397" s="22944"/>
      <c r="Y397" s="22944"/>
      <c r="Z397" s="22944"/>
      <c r="AA397" s="22944"/>
      <c r="AB397" s="22944"/>
      <c r="AC397" s="22944"/>
      <c r="AD397" s="22944"/>
      <c r="AE397" s="22944"/>
      <c r="AF397" s="22944"/>
      <c r="AG397" s="22944"/>
      <c r="AH397" s="22944">
        <v>0</v>
      </c>
    </row>
    <row s="62286" customFormat="1" customHeight="1" ht="18.75">
      <c r="A398" s="23333"/>
      <c r="B398" s="23333"/>
      <c r="C398" s="26822" t="s">
        <v>1219</v>
      </c>
      <c r="D398" s="26823"/>
      <c r="E398" s="26824"/>
      <c r="F398" s="26824"/>
      <c r="G398" s="26825"/>
      <c r="H398" s="27025"/>
      <c r="I398" s="27026" t="s">
        <v>1218</v>
      </c>
      <c r="J398" s="27027"/>
      <c r="K398" s="27028"/>
      <c r="L398" s="27029"/>
      <c r="M398" s="26827"/>
      <c r="N398" s="26828"/>
      <c r="O398" s="23339"/>
      <c r="P398" s="23339"/>
      <c r="Q398" s="22944"/>
      <c r="R398" s="22944"/>
      <c r="S398" s="22944"/>
      <c r="T398" s="22944"/>
      <c r="U398" s="22944"/>
      <c r="V398" s="22944"/>
      <c r="W398" s="22944"/>
      <c r="X398" s="22944"/>
      <c r="Y398" s="22944"/>
      <c r="Z398" s="22944"/>
      <c r="AA398" s="22944"/>
      <c r="AB398" s="22944"/>
      <c r="AC398" s="22944"/>
      <c r="AD398" s="22944"/>
      <c r="AE398" s="22944"/>
      <c r="AF398" s="22944"/>
      <c r="AG398" s="22944"/>
      <c r="AH398" s="22944">
        <v>0</v>
      </c>
    </row>
    <row s="62286" customFormat="1" customHeight="1" ht="18.75">
      <c r="A399" s="23333" t="s">
        <v>166</v>
      </c>
      <c r="B399" s="23333" t="s">
        <v>182</v>
      </c>
      <c r="C399" s="26822"/>
      <c r="D399" s="26823"/>
      <c r="E399" s="26824"/>
      <c r="F399" s="26824"/>
      <c r="G399" s="26825" t="str">
        <f>INDEX(PT_DIFFERENTIATION_NTAR,MATCH(B399,PT_DIFFERENTIATION_NTAR_ID,0))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399" s="23206"/>
      <c r="I399" s="26819">
        <v>45292</v>
      </c>
      <c r="J399" s="26820">
        <v>47118</v>
      </c>
      <c r="K399" s="26910">
        <v>0</v>
      </c>
      <c r="L399" s="23206" t="s">
        <v>381</v>
      </c>
      <c r="M399" s="26827"/>
      <c r="N399" s="26828"/>
      <c r="O399" s="23339"/>
      <c r="P399" s="23339"/>
      <c r="Q399" s="22944"/>
      <c r="R399" s="22944"/>
      <c r="S399" s="22944"/>
      <c r="T399" s="22944"/>
      <c r="U399" s="22944"/>
      <c r="V399" s="22944"/>
      <c r="W399" s="22944"/>
      <c r="X399" s="22944"/>
      <c r="Y399" s="22944"/>
      <c r="Z399" s="22944"/>
      <c r="AA399" s="22944"/>
      <c r="AB399" s="22944"/>
      <c r="AC399" s="22944"/>
      <c r="AD399" s="22944"/>
      <c r="AE399" s="22944"/>
      <c r="AF399" s="22944"/>
      <c r="AG399" s="22944"/>
      <c r="AH399" s="22944">
        <v>0</v>
      </c>
    </row>
    <row s="62286" customFormat="1" customHeight="1" ht="18.75">
      <c r="A400" s="23333"/>
      <c r="B400" s="23333"/>
      <c r="C400" s="26822" t="s">
        <v>1219</v>
      </c>
      <c r="D400" s="26823"/>
      <c r="E400" s="26824"/>
      <c r="F400" s="26824"/>
      <c r="G400" s="26825"/>
      <c r="H400" s="27030"/>
      <c r="I400" s="27031" t="s">
        <v>1218</v>
      </c>
      <c r="J400" s="27032"/>
      <c r="K400" s="27033"/>
      <c r="L400" s="27034"/>
      <c r="M400" s="26827"/>
      <c r="N400" s="26828"/>
      <c r="O400" s="23339"/>
      <c r="P400" s="23339"/>
      <c r="Q400" s="22944"/>
      <c r="R400" s="22944"/>
      <c r="S400" s="22944"/>
      <c r="T400" s="22944"/>
      <c r="U400" s="22944"/>
      <c r="V400" s="22944"/>
      <c r="W400" s="22944"/>
      <c r="X400" s="22944"/>
      <c r="Y400" s="22944"/>
      <c r="Z400" s="22944"/>
      <c r="AA400" s="22944"/>
      <c r="AB400" s="22944"/>
      <c r="AC400" s="22944"/>
      <c r="AD400" s="22944"/>
      <c r="AE400" s="22944"/>
      <c r="AF400" s="22944"/>
      <c r="AG400" s="22944"/>
      <c r="AH400" s="22944">
        <v>0</v>
      </c>
    </row>
    <row s="62286" customFormat="1" customHeight="1" ht="0.75">
      <c r="A401" s="2472"/>
      <c r="B401" s="2472"/>
      <c r="C401" s="1061" t="s">
        <v>1228</v>
      </c>
      <c r="D401" s="3154"/>
      <c r="E401" s="2896"/>
      <c r="F401" s="3075"/>
      <c r="G401" s="1092"/>
      <c r="H401" s="2192"/>
      <c r="I401" s="1343"/>
      <c r="J401" s="1263"/>
      <c r="K401" s="2192"/>
      <c r="L401" s="906"/>
      <c r="M401" s="2862"/>
      <c r="N401" s="1026"/>
      <c r="O401" s="2316"/>
      <c r="P401" s="2316"/>
      <c r="AH401" s="2323">
        <v>0</v>
      </c>
    </row>
    <row s="62286" customFormat="1" customHeight="1" ht="45">
      <c r="A402" s="2472" t="s">
        <v>190</v>
      </c>
      <c r="B402" s="2472" t="s">
        <v>191</v>
      </c>
      <c r="C402" s="1061"/>
      <c r="D402" s="3154"/>
      <c r="E402" s="2896"/>
      <c r="F402" s="3075" t="str">
        <f>INDEX(PT_DIFFERENTIATION_VTAR,MATCH(A402,PT_DIFFERENTIATION_VTAR_ID,0))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02" s="3119" t="str">
        <f>INDEX(PT_DIFFERENTIATION_NTAR,MATCH(B402,PT_DIFFERENTIATION_NTAR_ID,0))</f>
        <v>Тариф на тепловую энергию, поставляемую потребителям АО "ДГК" на территории Артемовского городского округа Приморского края</v>
      </c>
      <c r="H402" s="2554"/>
      <c r="I402" s="26819">
        <v>45292</v>
      </c>
      <c r="J402" s="26820">
        <v>47118</v>
      </c>
      <c r="K402" s="2470">
        <v>0</v>
      </c>
      <c r="L402" s="2554" t="s">
        <v>381</v>
      </c>
      <c r="M402" s="2863"/>
      <c r="N402" s="1026"/>
      <c r="O402" s="2316"/>
      <c r="P402" s="2316"/>
      <c r="AH402" s="2323">
        <v>0</v>
      </c>
    </row>
    <row s="62286" customFormat="1" customHeight="1" ht="18.75">
      <c r="A403" s="2472"/>
      <c r="B403" s="2472"/>
      <c r="C403" s="1061" t="s">
        <v>1219</v>
      </c>
      <c r="D403" s="3154"/>
      <c r="E403" s="2896"/>
      <c r="F403" s="3075"/>
      <c r="G403" s="3119"/>
      <c r="H403" s="2192"/>
      <c r="I403" s="1343" t="s">
        <v>1218</v>
      </c>
      <c r="J403" s="1263"/>
      <c r="K403" s="2192"/>
      <c r="L403" s="906"/>
      <c r="M403" s="2553"/>
      <c r="N403" s="1026"/>
      <c r="O403" s="2316"/>
      <c r="P403" s="2316"/>
      <c r="AH403" s="2323">
        <v>0</v>
      </c>
    </row>
    <row s="62286" customFormat="1" customHeight="1" ht="18.75">
      <c r="A404" s="23333" t="s">
        <v>190</v>
      </c>
      <c r="B404" s="23333" t="s">
        <v>196</v>
      </c>
      <c r="C404" s="26822"/>
      <c r="D404" s="26823"/>
      <c r="E404" s="26824"/>
      <c r="F404" s="26824"/>
      <c r="G404" s="26825" t="str">
        <f>INDEX(PT_DIFFERENTIATION_NTAR,MATCH(B404,PT_DIFFERENTIATION_NTAR_ID,0))</f>
        <v>Тариф на тепловую энергию, поставляемую потребителям АО "ДГК" на территории Владивостокского городского округа Приморского края</v>
      </c>
      <c r="H404" s="23206"/>
      <c r="I404" s="26819">
        <v>45292</v>
      </c>
      <c r="J404" s="26820">
        <v>47118</v>
      </c>
      <c r="K404" s="26910">
        <v>0</v>
      </c>
      <c r="L404" s="23206" t="s">
        <v>381</v>
      </c>
      <c r="M404" s="26827"/>
      <c r="N404" s="26828"/>
      <c r="O404" s="23339"/>
      <c r="P404" s="23339"/>
      <c r="Q404" s="22944"/>
      <c r="R404" s="22944"/>
      <c r="S404" s="22944"/>
      <c r="T404" s="22944"/>
      <c r="U404" s="22944"/>
      <c r="V404" s="22944"/>
      <c r="W404" s="22944"/>
      <c r="X404" s="22944"/>
      <c r="Y404" s="22944"/>
      <c r="Z404" s="22944"/>
      <c r="AA404" s="22944"/>
      <c r="AB404" s="22944"/>
      <c r="AC404" s="22944"/>
      <c r="AD404" s="22944"/>
      <c r="AE404" s="22944"/>
      <c r="AF404" s="22944"/>
      <c r="AG404" s="22944"/>
      <c r="AH404" s="22944">
        <v>0</v>
      </c>
    </row>
    <row s="62286" customFormat="1" customHeight="1" ht="18.75">
      <c r="A405" s="23333"/>
      <c r="B405" s="23333"/>
      <c r="C405" s="26822" t="s">
        <v>1219</v>
      </c>
      <c r="D405" s="26823"/>
      <c r="E405" s="26824"/>
      <c r="F405" s="26824"/>
      <c r="G405" s="26825"/>
      <c r="H405" s="27035"/>
      <c r="I405" s="27036" t="s">
        <v>1218</v>
      </c>
      <c r="J405" s="27037"/>
      <c r="K405" s="27038"/>
      <c r="L405" s="27039"/>
      <c r="M405" s="26827"/>
      <c r="N405" s="26828"/>
      <c r="O405" s="23339"/>
      <c r="P405" s="23339"/>
      <c r="Q405" s="22944"/>
      <c r="R405" s="22944"/>
      <c r="S405" s="22944"/>
      <c r="T405" s="22944"/>
      <c r="U405" s="22944"/>
      <c r="V405" s="22944"/>
      <c r="W405" s="22944"/>
      <c r="X405" s="22944"/>
      <c r="Y405" s="22944"/>
      <c r="Z405" s="22944"/>
      <c r="AA405" s="22944"/>
      <c r="AB405" s="22944"/>
      <c r="AC405" s="22944"/>
      <c r="AD405" s="22944"/>
      <c r="AE405" s="22944"/>
      <c r="AF405" s="22944"/>
      <c r="AG405" s="22944"/>
      <c r="AH405" s="22944">
        <v>0</v>
      </c>
    </row>
    <row s="62286" customFormat="1" customHeight="1" ht="18.75">
      <c r="A406" s="23333" t="s">
        <v>190</v>
      </c>
      <c r="B406" s="23333" t="s">
        <v>201</v>
      </c>
      <c r="C406" s="26822"/>
      <c r="D406" s="26823"/>
      <c r="E406" s="26824"/>
      <c r="F406" s="26824"/>
      <c r="G406" s="26825" t="str">
        <f>INDEX(PT_DIFFERENTIATION_NTAR,MATCH(B406,PT_DIFFERENTIATION_NTAR_ID,0))</f>
        <v>Тариф на тепловую энергию, поставляемую потребителям АО "ДГК" на территории Партизанского городского округа Приморского края</v>
      </c>
      <c r="H406" s="23206"/>
      <c r="I406" s="26819">
        <v>45292</v>
      </c>
      <c r="J406" s="26820">
        <v>47118</v>
      </c>
      <c r="K406" s="26910">
        <v>0</v>
      </c>
      <c r="L406" s="23206" t="s">
        <v>381</v>
      </c>
      <c r="M406" s="26827"/>
      <c r="N406" s="26828"/>
      <c r="O406" s="23339"/>
      <c r="P406" s="23339"/>
      <c r="Q406" s="22944"/>
      <c r="R406" s="22944"/>
      <c r="S406" s="22944"/>
      <c r="T406" s="22944"/>
      <c r="U406" s="22944"/>
      <c r="V406" s="22944"/>
      <c r="W406" s="22944"/>
      <c r="X406" s="22944"/>
      <c r="Y406" s="22944"/>
      <c r="Z406" s="22944"/>
      <c r="AA406" s="22944"/>
      <c r="AB406" s="22944"/>
      <c r="AC406" s="22944"/>
      <c r="AD406" s="22944"/>
      <c r="AE406" s="22944"/>
      <c r="AF406" s="22944"/>
      <c r="AG406" s="22944"/>
      <c r="AH406" s="22944">
        <v>0</v>
      </c>
    </row>
    <row s="62286" customFormat="1" customHeight="1" ht="18.75">
      <c r="A407" s="23333"/>
      <c r="B407" s="23333"/>
      <c r="C407" s="26822" t="s">
        <v>1219</v>
      </c>
      <c r="D407" s="26823"/>
      <c r="E407" s="26824"/>
      <c r="F407" s="26824"/>
      <c r="G407" s="26825"/>
      <c r="H407" s="27040"/>
      <c r="I407" s="27041" t="s">
        <v>1218</v>
      </c>
      <c r="J407" s="27042"/>
      <c r="K407" s="27043"/>
      <c r="L407" s="27044"/>
      <c r="M407" s="26827"/>
      <c r="N407" s="26828"/>
      <c r="O407" s="23339"/>
      <c r="P407" s="23339"/>
      <c r="Q407" s="22944"/>
      <c r="R407" s="22944"/>
      <c r="S407" s="22944"/>
      <c r="T407" s="22944"/>
      <c r="U407" s="22944"/>
      <c r="V407" s="22944"/>
      <c r="W407" s="22944"/>
      <c r="X407" s="22944"/>
      <c r="Y407" s="22944"/>
      <c r="Z407" s="22944"/>
      <c r="AA407" s="22944"/>
      <c r="AB407" s="22944"/>
      <c r="AC407" s="22944"/>
      <c r="AD407" s="22944"/>
      <c r="AE407" s="22944"/>
      <c r="AF407" s="22944"/>
      <c r="AG407" s="22944"/>
      <c r="AH407" s="22944">
        <v>0</v>
      </c>
    </row>
    <row s="62286" customFormat="1" customHeight="1" ht="18.75">
      <c r="A408" s="23333" t="s">
        <v>190</v>
      </c>
      <c r="B408" s="23333" t="s">
        <v>206</v>
      </c>
      <c r="C408" s="26822"/>
      <c r="D408" s="26823"/>
      <c r="E408" s="26824"/>
      <c r="F408" s="26824"/>
      <c r="G408" s="26825" t="str">
        <f>INDEX(PT_DIFFERENTIATION_NTAR,MATCH(B408,PT_DIFFERENTIATION_NTAR_ID,0))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408" s="23206"/>
      <c r="I408" s="26819">
        <v>45292</v>
      </c>
      <c r="J408" s="26820">
        <v>47118</v>
      </c>
      <c r="K408" s="26910">
        <v>0</v>
      </c>
      <c r="L408" s="23206" t="s">
        <v>381</v>
      </c>
      <c r="M408" s="26827"/>
      <c r="N408" s="26828"/>
      <c r="O408" s="23339"/>
      <c r="P408" s="23339"/>
      <c r="Q408" s="22944"/>
      <c r="R408" s="22944"/>
      <c r="S408" s="22944"/>
      <c r="T408" s="22944"/>
      <c r="U408" s="22944"/>
      <c r="V408" s="22944"/>
      <c r="W408" s="22944"/>
      <c r="X408" s="22944"/>
      <c r="Y408" s="22944"/>
      <c r="Z408" s="22944"/>
      <c r="AA408" s="22944"/>
      <c r="AB408" s="22944"/>
      <c r="AC408" s="22944"/>
      <c r="AD408" s="22944"/>
      <c r="AE408" s="22944"/>
      <c r="AF408" s="22944"/>
      <c r="AG408" s="22944"/>
      <c r="AH408" s="22944">
        <v>0</v>
      </c>
    </row>
    <row s="62286" customFormat="1" customHeight="1" ht="18.75">
      <c r="A409" s="23333"/>
      <c r="B409" s="23333"/>
      <c r="C409" s="26822" t="s">
        <v>1219</v>
      </c>
      <c r="D409" s="26823"/>
      <c r="E409" s="26824"/>
      <c r="F409" s="26824"/>
      <c r="G409" s="26825"/>
      <c r="H409" s="27045"/>
      <c r="I409" s="27046" t="s">
        <v>1218</v>
      </c>
      <c r="J409" s="27047"/>
      <c r="K409" s="27048"/>
      <c r="L409" s="27049"/>
      <c r="M409" s="26827"/>
      <c r="N409" s="26828"/>
      <c r="O409" s="23339"/>
      <c r="P409" s="23339"/>
      <c r="Q409" s="22944"/>
      <c r="R409" s="22944"/>
      <c r="S409" s="22944"/>
      <c r="T409" s="22944"/>
      <c r="U409" s="22944"/>
      <c r="V409" s="22944"/>
      <c r="W409" s="22944"/>
      <c r="X409" s="22944"/>
      <c r="Y409" s="22944"/>
      <c r="Z409" s="22944"/>
      <c r="AA409" s="22944"/>
      <c r="AB409" s="22944"/>
      <c r="AC409" s="22944"/>
      <c r="AD409" s="22944"/>
      <c r="AE409" s="22944"/>
      <c r="AF409" s="22944"/>
      <c r="AG409" s="22944"/>
      <c r="AH409" s="22944">
        <v>0</v>
      </c>
    </row>
    <row s="62286" customFormat="1" customHeight="1" ht="18.75">
      <c r="A410" s="23333" t="s">
        <v>190</v>
      </c>
      <c r="B410" s="23333" t="s">
        <v>211</v>
      </c>
      <c r="C410" s="26822"/>
      <c r="D410" s="26823"/>
      <c r="E410" s="26824"/>
      <c r="F410" s="26824"/>
      <c r="G410" s="26825" t="str">
        <f>INDEX(PT_DIFFERENTIATION_NTAR,MATCH(B410,PT_DIFFERENTIATION_NTAR_ID,0))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410" s="23206"/>
      <c r="I410" s="26819">
        <v>45292</v>
      </c>
      <c r="J410" s="26820">
        <v>47118</v>
      </c>
      <c r="K410" s="26910">
        <v>0</v>
      </c>
      <c r="L410" s="23206" t="s">
        <v>381</v>
      </c>
      <c r="M410" s="26827"/>
      <c r="N410" s="26828"/>
      <c r="O410" s="23339"/>
      <c r="P410" s="23339"/>
      <c r="Q410" s="22944"/>
      <c r="R410" s="22944"/>
      <c r="S410" s="22944"/>
      <c r="T410" s="22944"/>
      <c r="U410" s="22944"/>
      <c r="V410" s="22944"/>
      <c r="W410" s="22944"/>
      <c r="X410" s="22944"/>
      <c r="Y410" s="22944"/>
      <c r="Z410" s="22944"/>
      <c r="AA410" s="22944"/>
      <c r="AB410" s="22944"/>
      <c r="AC410" s="22944"/>
      <c r="AD410" s="22944"/>
      <c r="AE410" s="22944"/>
      <c r="AF410" s="22944"/>
      <c r="AG410" s="22944"/>
      <c r="AH410" s="22944">
        <v>0</v>
      </c>
    </row>
    <row s="62286" customFormat="1" customHeight="1" ht="18.75">
      <c r="A411" s="23333"/>
      <c r="B411" s="23333"/>
      <c r="C411" s="26822" t="s">
        <v>1219</v>
      </c>
      <c r="D411" s="26823"/>
      <c r="E411" s="26824"/>
      <c r="F411" s="26824"/>
      <c r="G411" s="26825"/>
      <c r="H411" s="27050"/>
      <c r="I411" s="27051" t="s">
        <v>1218</v>
      </c>
      <c r="J411" s="27052"/>
      <c r="K411" s="27053"/>
      <c r="L411" s="27054"/>
      <c r="M411" s="26827"/>
      <c r="N411" s="26828"/>
      <c r="O411" s="23339"/>
      <c r="P411" s="23339"/>
      <c r="Q411" s="22944"/>
      <c r="R411" s="22944"/>
      <c r="S411" s="22944"/>
      <c r="T411" s="22944"/>
      <c r="U411" s="22944"/>
      <c r="V411" s="22944"/>
      <c r="W411" s="22944"/>
      <c r="X411" s="22944"/>
      <c r="Y411" s="22944"/>
      <c r="Z411" s="22944"/>
      <c r="AA411" s="22944"/>
      <c r="AB411" s="22944"/>
      <c r="AC411" s="22944"/>
      <c r="AD411" s="22944"/>
      <c r="AE411" s="22944"/>
      <c r="AF411" s="22944"/>
      <c r="AG411" s="22944"/>
      <c r="AH411" s="22944">
        <v>0</v>
      </c>
    </row>
    <row s="62286" customFormat="1" customHeight="1" ht="18.75">
      <c r="A412" s="23333" t="s">
        <v>190</v>
      </c>
      <c r="B412" s="23333" t="s">
        <v>216</v>
      </c>
      <c r="C412" s="26822"/>
      <c r="D412" s="26823"/>
      <c r="E412" s="26824"/>
      <c r="F412" s="26824"/>
      <c r="G412" s="26825" t="str">
        <f>INDEX(PT_DIFFERENTIATION_NTAR,MATCH(B412,PT_DIFFERENTIATION_NTAR_ID,0))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412" s="23206"/>
      <c r="I412" s="26819">
        <v>45292</v>
      </c>
      <c r="J412" s="26820">
        <v>47118</v>
      </c>
      <c r="K412" s="26910">
        <v>0</v>
      </c>
      <c r="L412" s="23206" t="s">
        <v>381</v>
      </c>
      <c r="M412" s="26827"/>
      <c r="N412" s="26828"/>
      <c r="O412" s="23339"/>
      <c r="P412" s="23339"/>
      <c r="Q412" s="22944"/>
      <c r="R412" s="22944"/>
      <c r="S412" s="22944"/>
      <c r="T412" s="22944"/>
      <c r="U412" s="22944"/>
      <c r="V412" s="22944"/>
      <c r="W412" s="22944"/>
      <c r="X412" s="22944"/>
      <c r="Y412" s="22944"/>
      <c r="Z412" s="22944"/>
      <c r="AA412" s="22944"/>
      <c r="AB412" s="22944"/>
      <c r="AC412" s="22944"/>
      <c r="AD412" s="22944"/>
      <c r="AE412" s="22944"/>
      <c r="AF412" s="22944"/>
      <c r="AG412" s="22944"/>
      <c r="AH412" s="22944">
        <v>0</v>
      </c>
    </row>
    <row s="62286" customFormat="1" customHeight="1" ht="18.75">
      <c r="A413" s="23333"/>
      <c r="B413" s="23333"/>
      <c r="C413" s="26822" t="s">
        <v>1219</v>
      </c>
      <c r="D413" s="26823"/>
      <c r="E413" s="26824"/>
      <c r="F413" s="26824"/>
      <c r="G413" s="26825"/>
      <c r="H413" s="27055"/>
      <c r="I413" s="27056" t="s">
        <v>1218</v>
      </c>
      <c r="J413" s="27057"/>
      <c r="K413" s="27058"/>
      <c r="L413" s="27059"/>
      <c r="M413" s="26827"/>
      <c r="N413" s="26828"/>
      <c r="O413" s="23339"/>
      <c r="P413" s="23339"/>
      <c r="Q413" s="22944"/>
      <c r="R413" s="22944"/>
      <c r="S413" s="22944"/>
      <c r="T413" s="22944"/>
      <c r="U413" s="22944"/>
      <c r="V413" s="22944"/>
      <c r="W413" s="22944"/>
      <c r="X413" s="22944"/>
      <c r="Y413" s="22944"/>
      <c r="Z413" s="22944"/>
      <c r="AA413" s="22944"/>
      <c r="AB413" s="22944"/>
      <c r="AC413" s="22944"/>
      <c r="AD413" s="22944"/>
      <c r="AE413" s="22944"/>
      <c r="AF413" s="22944"/>
      <c r="AG413" s="22944"/>
      <c r="AH413" s="22944">
        <v>0</v>
      </c>
    </row>
    <row s="62286" customFormat="1" customHeight="1" ht="0.75">
      <c r="A414" s="2472"/>
      <c r="B414" s="2472"/>
      <c r="C414" s="1061" t="s">
        <v>1228</v>
      </c>
      <c r="D414" s="3154"/>
      <c r="E414" s="2896"/>
      <c r="F414" s="3075"/>
      <c r="G414" s="1092"/>
      <c r="H414" s="2192"/>
      <c r="I414" s="1343"/>
      <c r="J414" s="1263"/>
      <c r="K414" s="2192"/>
      <c r="L414" s="906"/>
      <c r="M414" s="1033"/>
      <c r="N414" s="1026"/>
      <c r="O414" s="2316"/>
      <c r="P414" s="2316"/>
      <c r="AH414" s="2323">
        <v>0</v>
      </c>
    </row>
    <row s="62286" customFormat="1" customHeight="1" ht="14.25">
      <c r="A415" s="2472" t="s">
        <v>223</v>
      </c>
      <c r="B415" s="2472" t="s">
        <v>224</v>
      </c>
      <c r="C415" s="1061"/>
      <c r="D415" s="3154"/>
      <c r="E415" s="2896"/>
      <c r="F415" s="3075" t="str">
        <f>INDEX(PT_DIFFERENTIATION_VTAR,MATCH(A415,PT_DIFFERENTIATION_VTAR_ID,0))</f>
        <v>Тарифы на теплоноситель, поставляемый теплоснабжающими организациями потребителям, другим теплоснабжающим организациям</v>
      </c>
      <c r="G415" s="3119" t="str">
        <f>INDEX(PT_DIFFERENTIATION_NTAR,MATCH(B415,PT_DIFFERENTIATION_NTAR_ID,0))</f>
        <v>Тарифы на теплоноситель, поставляемый потребителям Артемовского городского округа</v>
      </c>
      <c r="H415" s="2554"/>
      <c r="I415" s="9324">
        <v>45292</v>
      </c>
      <c r="J415" s="9325">
        <v>47118</v>
      </c>
      <c r="K415" s="2470">
        <v>0</v>
      </c>
      <c r="L415" s="2554" t="s">
        <v>381</v>
      </c>
      <c r="M415" s="1033"/>
      <c r="N415" s="1026"/>
      <c r="O415" s="2316"/>
      <c r="P415" s="2316"/>
      <c r="AH415" s="2323">
        <v>0</v>
      </c>
    </row>
    <row s="62286" customFormat="1" customHeight="1" ht="18.75">
      <c r="A416" s="2472"/>
      <c r="B416" s="2472"/>
      <c r="C416" s="1061" t="s">
        <v>1219</v>
      </c>
      <c r="D416" s="3154"/>
      <c r="E416" s="2896"/>
      <c r="F416" s="3075"/>
      <c r="G416" s="3119"/>
      <c r="H416" s="2192"/>
      <c r="I416" s="1343" t="s">
        <v>1218</v>
      </c>
      <c r="J416" s="1263"/>
      <c r="K416" s="2192"/>
      <c r="L416" s="906"/>
      <c r="M416" s="1033"/>
      <c r="N416" s="1026"/>
      <c r="O416" s="2316"/>
      <c r="P416" s="2316"/>
      <c r="AH416" s="2323">
        <v>0</v>
      </c>
    </row>
    <row s="62286" customFormat="1" customHeight="1" ht="18.75">
      <c r="A417" s="4421" t="s">
        <v>223</v>
      </c>
      <c r="B417" s="4421" t="s">
        <v>229</v>
      </c>
      <c r="C417" s="5479"/>
      <c r="D417" s="5480"/>
      <c r="E417" s="5481"/>
      <c r="F417" s="5481"/>
      <c r="G417" s="5482" t="str">
        <f>INDEX(PT_DIFFERENTIATION_NTAR,MATCH(B417,PT_DIFFERENTIATION_NTAR_ID,0))</f>
        <v>Тарифы на теплоноситель, поставляемый потребителям Владивостокского городского округа</v>
      </c>
      <c r="H417" s="5483"/>
      <c r="I417" s="9324">
        <v>45292</v>
      </c>
      <c r="J417" s="9325">
        <v>47118</v>
      </c>
      <c r="K417" s="5502">
        <v>0</v>
      </c>
      <c r="L417" s="5483" t="s">
        <v>381</v>
      </c>
      <c r="M417" s="5487"/>
      <c r="N417" s="5488"/>
      <c r="O417" s="4431"/>
      <c r="P417" s="4431"/>
      <c r="Q417" s="4432"/>
      <c r="R417" s="4432"/>
      <c r="S417" s="4432"/>
      <c r="T417" s="4432"/>
      <c r="U417" s="4432"/>
      <c r="V417" s="4432"/>
      <c r="W417" s="4432"/>
      <c r="X417" s="4432"/>
      <c r="Y417" s="4432"/>
      <c r="Z417" s="4432"/>
      <c r="AA417" s="4432"/>
      <c r="AB417" s="4432"/>
      <c r="AC417" s="4432"/>
      <c r="AD417" s="4432"/>
      <c r="AE417" s="4432"/>
      <c r="AF417" s="4432"/>
      <c r="AG417" s="4432"/>
      <c r="AH417" s="4432">
        <v>0</v>
      </c>
    </row>
    <row s="62286" customFormat="1" customHeight="1" ht="18.75">
      <c r="A418" s="4421"/>
      <c r="B418" s="4421"/>
      <c r="C418" s="5479" t="s">
        <v>1219</v>
      </c>
      <c r="D418" s="5480"/>
      <c r="E418" s="5481"/>
      <c r="F418" s="5481"/>
      <c r="G418" s="5482"/>
      <c r="H418" s="5523"/>
      <c r="I418" s="5524" t="s">
        <v>1218</v>
      </c>
      <c r="J418" s="5525"/>
      <c r="K418" s="5526"/>
      <c r="L418" s="5527"/>
      <c r="M418" s="5487"/>
      <c r="N418" s="5488"/>
      <c r="O418" s="4431"/>
      <c r="P418" s="4431"/>
      <c r="Q418" s="4432"/>
      <c r="R418" s="4432"/>
      <c r="S418" s="4432"/>
      <c r="T418" s="4432"/>
      <c r="U418" s="4432"/>
      <c r="V418" s="4432"/>
      <c r="W418" s="4432"/>
      <c r="X418" s="4432"/>
      <c r="Y418" s="4432"/>
      <c r="Z418" s="4432"/>
      <c r="AA418" s="4432"/>
      <c r="AB418" s="4432"/>
      <c r="AC418" s="4432"/>
      <c r="AD418" s="4432"/>
      <c r="AE418" s="4432"/>
      <c r="AF418" s="4432"/>
      <c r="AG418" s="4432"/>
      <c r="AH418" s="4432">
        <v>0</v>
      </c>
    </row>
    <row s="62286" customFormat="1" customHeight="1" ht="18.75">
      <c r="A419" s="4421" t="s">
        <v>223</v>
      </c>
      <c r="B419" s="4421" t="s">
        <v>234</v>
      </c>
      <c r="C419" s="5479"/>
      <c r="D419" s="5480"/>
      <c r="E419" s="5481"/>
      <c r="F419" s="5481"/>
      <c r="G419" s="5482" t="str">
        <f>INDEX(PT_DIFFERENTIATION_NTAR,MATCH(B419,PT_DIFFERENTIATION_NTAR_ID,0))</f>
        <v>Тарифы на теплоноситель, поставляемый потребителям Партизанского городского округа</v>
      </c>
      <c r="H419" s="5483"/>
      <c r="I419" s="9324">
        <v>45292</v>
      </c>
      <c r="J419" s="9325">
        <v>47118</v>
      </c>
      <c r="K419" s="5502">
        <v>0</v>
      </c>
      <c r="L419" s="5483" t="s">
        <v>381</v>
      </c>
      <c r="M419" s="5487"/>
      <c r="N419" s="5488"/>
      <c r="O419" s="4431"/>
      <c r="P419" s="4431"/>
      <c r="Q419" s="4432"/>
      <c r="R419" s="4432"/>
      <c r="S419" s="4432"/>
      <c r="T419" s="4432"/>
      <c r="U419" s="4432"/>
      <c r="V419" s="4432"/>
      <c r="W419" s="4432"/>
      <c r="X419" s="4432"/>
      <c r="Y419" s="4432"/>
      <c r="Z419" s="4432"/>
      <c r="AA419" s="4432"/>
      <c r="AB419" s="4432"/>
      <c r="AC419" s="4432"/>
      <c r="AD419" s="4432"/>
      <c r="AE419" s="4432"/>
      <c r="AF419" s="4432"/>
      <c r="AG419" s="4432"/>
      <c r="AH419" s="4432">
        <v>0</v>
      </c>
    </row>
    <row s="62286" customFormat="1" customHeight="1" ht="18.75">
      <c r="A420" s="4421"/>
      <c r="B420" s="4421"/>
      <c r="C420" s="5479" t="s">
        <v>1219</v>
      </c>
      <c r="D420" s="5480"/>
      <c r="E420" s="5481"/>
      <c r="F420" s="5481"/>
      <c r="G420" s="5482"/>
      <c r="H420" s="5528"/>
      <c r="I420" s="5529" t="s">
        <v>1218</v>
      </c>
      <c r="J420" s="5530"/>
      <c r="K420" s="5531"/>
      <c r="L420" s="5532"/>
      <c r="M420" s="5487"/>
      <c r="N420" s="5488"/>
      <c r="O420" s="4431"/>
      <c r="P420" s="4431"/>
      <c r="Q420" s="4432"/>
      <c r="R420" s="4432"/>
      <c r="S420" s="4432"/>
      <c r="T420" s="4432"/>
      <c r="U420" s="4432"/>
      <c r="V420" s="4432"/>
      <c r="W420" s="4432"/>
      <c r="X420" s="4432"/>
      <c r="Y420" s="4432"/>
      <c r="Z420" s="4432"/>
      <c r="AA420" s="4432"/>
      <c r="AB420" s="4432"/>
      <c r="AC420" s="4432"/>
      <c r="AD420" s="4432"/>
      <c r="AE420" s="4432"/>
      <c r="AF420" s="4432"/>
      <c r="AG420" s="4432"/>
      <c r="AH420" s="4432">
        <v>0</v>
      </c>
    </row>
    <row s="62286" customFormat="1" customHeight="1" ht="0.75">
      <c r="A421" s="2472"/>
      <c r="B421" s="2472"/>
      <c r="C421" s="1061" t="s">
        <v>1228</v>
      </c>
      <c r="D421" s="3154"/>
      <c r="E421" s="2896"/>
      <c r="F421" s="3075"/>
      <c r="G421" s="1092"/>
      <c r="H421" s="2192"/>
      <c r="I421" s="1343"/>
      <c r="J421" s="1263"/>
      <c r="K421" s="2192"/>
      <c r="L421" s="906"/>
      <c r="M421" s="1033"/>
      <c r="N421" s="1026"/>
      <c r="O421" s="2316"/>
      <c r="P421" s="2316"/>
      <c r="AH421" s="2323">
        <v>0</v>
      </c>
    </row>
    <row s="62286" customFormat="1" customHeight="1" ht="14.25">
      <c r="A422" s="2472" t="s">
        <v>240</v>
      </c>
      <c r="B422" s="2472" t="s">
        <v>241</v>
      </c>
      <c r="C422" s="1061"/>
      <c r="D422" s="3154"/>
      <c r="E422" s="2896"/>
      <c r="F422" s="3075" t="str">
        <f>INDEX(PT_DIFFERENTIATION_VTAR,MATCH(A422,PT_DIFFERENTIATION_VTAR_ID,0))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22" s="3119" t="str">
        <f>INDEX(PT_DIFFERENTIATION_NTAR,MATCH(B422,PT_DIFFERENTIATION_NTAR_ID,0))</f>
        <v>Тарифы на горячую воду в открытых системах теплоснабжения (горячего водоснабжения) на территории Артемовского городского округа</v>
      </c>
      <c r="H422" s="2554"/>
      <c r="I422" s="9324">
        <v>45292</v>
      </c>
      <c r="J422" s="9325">
        <v>47118</v>
      </c>
      <c r="K422" s="2470">
        <v>0</v>
      </c>
      <c r="L422" s="2554" t="s">
        <v>381</v>
      </c>
      <c r="M422" s="1033"/>
      <c r="N422" s="1026"/>
      <c r="O422" s="2316"/>
      <c r="P422" s="2316"/>
      <c r="AH422" s="2323">
        <v>0</v>
      </c>
    </row>
    <row s="62286" customFormat="1" customHeight="1" ht="18.75">
      <c r="A423" s="2472"/>
      <c r="B423" s="2472"/>
      <c r="C423" s="1061" t="s">
        <v>1219</v>
      </c>
      <c r="D423" s="3154"/>
      <c r="E423" s="2896"/>
      <c r="F423" s="3075"/>
      <c r="G423" s="3119"/>
      <c r="H423" s="2192"/>
      <c r="I423" s="1343" t="s">
        <v>1218</v>
      </c>
      <c r="J423" s="1263"/>
      <c r="K423" s="2192"/>
      <c r="L423" s="906"/>
      <c r="M423" s="1033"/>
      <c r="N423" s="1026"/>
      <c r="O423" s="2316"/>
      <c r="P423" s="2316"/>
      <c r="AH423" s="2323">
        <v>0</v>
      </c>
    </row>
    <row s="62286" customFormat="1" customHeight="1" ht="18.75">
      <c r="A424" s="8094" t="s">
        <v>240</v>
      </c>
      <c r="B424" s="8094" t="s">
        <v>246</v>
      </c>
      <c r="C424" s="9344"/>
      <c r="D424" s="9345"/>
      <c r="E424" s="9346"/>
      <c r="F424" s="9346"/>
      <c r="G424" s="9347" t="str">
        <f>INDEX(PT_DIFFERENTIATION_NTAR,MATCH(B424,PT_DIFFERENTIATION_NTAR_ID,0))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424" s="7450"/>
      <c r="I424" s="9324">
        <v>45292</v>
      </c>
      <c r="J424" s="9325">
        <v>47118</v>
      </c>
      <c r="K424" s="9364">
        <v>0</v>
      </c>
      <c r="L424" s="7450" t="s">
        <v>381</v>
      </c>
      <c r="M424" s="7985"/>
      <c r="N424" s="9349"/>
      <c r="O424" s="8100"/>
      <c r="P424" s="8100"/>
      <c r="Q424" s="7330"/>
      <c r="R424" s="7330"/>
      <c r="S424" s="7330"/>
      <c r="T424" s="7330"/>
      <c r="U424" s="7330"/>
      <c r="V424" s="7330"/>
      <c r="W424" s="7330"/>
      <c r="X424" s="7330"/>
      <c r="Y424" s="7330"/>
      <c r="Z424" s="7330"/>
      <c r="AA424" s="7330"/>
      <c r="AB424" s="7330"/>
      <c r="AC424" s="7330"/>
      <c r="AD424" s="7330"/>
      <c r="AE424" s="7330"/>
      <c r="AF424" s="7330"/>
      <c r="AG424" s="7330"/>
      <c r="AH424" s="7330">
        <v>0</v>
      </c>
    </row>
    <row s="62286" customFormat="1" customHeight="1" ht="18.75">
      <c r="A425" s="8094"/>
      <c r="B425" s="8094"/>
      <c r="C425" s="9344" t="s">
        <v>1219</v>
      </c>
      <c r="D425" s="9345"/>
      <c r="E425" s="9346"/>
      <c r="F425" s="9346"/>
      <c r="G425" s="9347"/>
      <c r="H425" s="9417"/>
      <c r="I425" s="9418" t="s">
        <v>1218</v>
      </c>
      <c r="J425" s="9419"/>
      <c r="K425" s="9420"/>
      <c r="L425" s="9421"/>
      <c r="M425" s="7985"/>
      <c r="N425" s="9349"/>
      <c r="O425" s="8100"/>
      <c r="P425" s="8100"/>
      <c r="Q425" s="7330"/>
      <c r="R425" s="7330"/>
      <c r="S425" s="7330"/>
      <c r="T425" s="7330"/>
      <c r="U425" s="7330"/>
      <c r="V425" s="7330"/>
      <c r="W425" s="7330"/>
      <c r="X425" s="7330"/>
      <c r="Y425" s="7330"/>
      <c r="Z425" s="7330"/>
      <c r="AA425" s="7330"/>
      <c r="AB425" s="7330"/>
      <c r="AC425" s="7330"/>
      <c r="AD425" s="7330"/>
      <c r="AE425" s="7330"/>
      <c r="AF425" s="7330"/>
      <c r="AG425" s="7330"/>
      <c r="AH425" s="7330">
        <v>0</v>
      </c>
    </row>
    <row s="62286" customFormat="1" customHeight="1" ht="18.75">
      <c r="A426" s="8094" t="s">
        <v>240</v>
      </c>
      <c r="B426" s="8094" t="s">
        <v>251</v>
      </c>
      <c r="C426" s="9344"/>
      <c r="D426" s="9345"/>
      <c r="E426" s="9346"/>
      <c r="F426" s="9346"/>
      <c r="G426" s="9347" t="str">
        <f>INDEX(PT_DIFFERENTIATION_NTAR,MATCH(B426,PT_DIFFERENTIATION_NTAR_ID,0))</f>
        <v>Тарифы на горячую воду в открытых системах теплоснабжения (горячего водоснабжения) на территории Партизанского городского округа</v>
      </c>
      <c r="H426" s="7450"/>
      <c r="I426" s="9324">
        <v>45292</v>
      </c>
      <c r="J426" s="9325">
        <v>47118</v>
      </c>
      <c r="K426" s="9364">
        <v>0</v>
      </c>
      <c r="L426" s="7450" t="s">
        <v>381</v>
      </c>
      <c r="M426" s="7985"/>
      <c r="N426" s="9349"/>
      <c r="O426" s="8100"/>
      <c r="P426" s="8100"/>
      <c r="Q426" s="7330"/>
      <c r="R426" s="7330"/>
      <c r="S426" s="7330"/>
      <c r="T426" s="7330"/>
      <c r="U426" s="7330"/>
      <c r="V426" s="7330"/>
      <c r="W426" s="7330"/>
      <c r="X426" s="7330"/>
      <c r="Y426" s="7330"/>
      <c r="Z426" s="7330"/>
      <c r="AA426" s="7330"/>
      <c r="AB426" s="7330"/>
      <c r="AC426" s="7330"/>
      <c r="AD426" s="7330"/>
      <c r="AE426" s="7330"/>
      <c r="AF426" s="7330"/>
      <c r="AG426" s="7330"/>
      <c r="AH426" s="7330">
        <v>0</v>
      </c>
    </row>
    <row s="62286" customFormat="1" customHeight="1" ht="18.75">
      <c r="A427" s="8094"/>
      <c r="B427" s="8094"/>
      <c r="C427" s="9344" t="s">
        <v>1219</v>
      </c>
      <c r="D427" s="9345"/>
      <c r="E427" s="9346"/>
      <c r="F427" s="9346"/>
      <c r="G427" s="9347"/>
      <c r="H427" s="9422"/>
      <c r="I427" s="9423" t="s">
        <v>1218</v>
      </c>
      <c r="J427" s="9424"/>
      <c r="K427" s="9425"/>
      <c r="L427" s="9426"/>
      <c r="M427" s="7985"/>
      <c r="N427" s="9349"/>
      <c r="O427" s="8100"/>
      <c r="P427" s="8100"/>
      <c r="Q427" s="7330"/>
      <c r="R427" s="7330"/>
      <c r="S427" s="7330"/>
      <c r="T427" s="7330"/>
      <c r="U427" s="7330"/>
      <c r="V427" s="7330"/>
      <c r="W427" s="7330"/>
      <c r="X427" s="7330"/>
      <c r="Y427" s="7330"/>
      <c r="Z427" s="7330"/>
      <c r="AA427" s="7330"/>
      <c r="AB427" s="7330"/>
      <c r="AC427" s="7330"/>
      <c r="AD427" s="7330"/>
      <c r="AE427" s="7330"/>
      <c r="AF427" s="7330"/>
      <c r="AG427" s="7330"/>
      <c r="AH427" s="7330">
        <v>0</v>
      </c>
    </row>
    <row s="62286" customFormat="1" customHeight="1" ht="0.75">
      <c r="A428" s="2472"/>
      <c r="B428" s="2472"/>
      <c r="C428" s="1061" t="s">
        <v>1228</v>
      </c>
      <c r="D428" s="3154"/>
      <c r="E428" s="2896"/>
      <c r="F428" s="3075"/>
      <c r="G428" s="1092"/>
      <c r="H428" s="2192"/>
      <c r="I428" s="1343"/>
      <c r="J428" s="1263"/>
      <c r="K428" s="2192"/>
      <c r="L428" s="906"/>
      <c r="M428" s="1033"/>
      <c r="N428" s="1026"/>
      <c r="O428" s="2316"/>
      <c r="P428" s="2316"/>
      <c r="AH428" s="2323">
        <v>0</v>
      </c>
    </row>
    <row s="62286" customFormat="1" customHeight="1" ht="18.75" hidden="1">
      <c r="A429" s="2472" t="s">
        <v>256</v>
      </c>
      <c r="B429" s="2472" t="s">
        <v>257</v>
      </c>
      <c r="C429" s="1061"/>
      <c r="D429" s="3154"/>
      <c r="E429" s="2896"/>
      <c r="F429" s="3075" t="str">
        <f>INDEX(PT_DIFFERENTIATION_VTAR,MATCH(A429,PT_DIFFERENTIATION_VTAR_ID,0))</f>
        <v>Тарифы на услуги по передаче тепловой энергии</v>
      </c>
      <c r="G429" s="3119" t="str">
        <f>INDEX(PT_DIFFERENTIATION_NTAR,MATCH(B429,PT_DIFFERENTIATION_NTAR_ID,0))</f>
        <v/>
      </c>
      <c r="H429" s="2554"/>
      <c r="I429" s="2431"/>
      <c r="J429" s="2465"/>
      <c r="K429" s="2470"/>
      <c r="L429" s="2554" t="s">
        <v>381</v>
      </c>
      <c r="M429" s="1033"/>
      <c r="N429" s="1026"/>
      <c r="O429" s="2316"/>
      <c r="P429" s="2316"/>
      <c r="AH429" s="2323">
        <v>0</v>
      </c>
    </row>
    <row s="62286" customFormat="1" customHeight="1" ht="18.75" hidden="1">
      <c r="A430" s="2472"/>
      <c r="B430" s="2472"/>
      <c r="C430" s="1061" t="s">
        <v>1219</v>
      </c>
      <c r="D430" s="3154"/>
      <c r="E430" s="2896"/>
      <c r="F430" s="3075"/>
      <c r="G430" s="3119"/>
      <c r="H430" s="2192"/>
      <c r="I430" s="1343" t="s">
        <v>1218</v>
      </c>
      <c r="J430" s="1263"/>
      <c r="K430" s="2192"/>
      <c r="L430" s="906"/>
      <c r="M430" s="1033"/>
      <c r="N430" s="1026"/>
      <c r="O430" s="2316"/>
      <c r="P430" s="2316"/>
      <c r="AH430" s="2323">
        <v>0</v>
      </c>
    </row>
    <row s="62286" customFormat="1" customHeight="1" ht="0.75" hidden="1">
      <c r="A431" s="2472"/>
      <c r="B431" s="2472"/>
      <c r="C431" s="1061" t="s">
        <v>1228</v>
      </c>
      <c r="D431" s="3154"/>
      <c r="E431" s="2896"/>
      <c r="F431" s="3075"/>
      <c r="G431" s="1092"/>
      <c r="H431" s="2192"/>
      <c r="I431" s="1343"/>
      <c r="J431" s="1263"/>
      <c r="K431" s="2192"/>
      <c r="L431" s="906"/>
      <c r="M431" s="1033"/>
      <c r="N431" s="1026"/>
      <c r="O431" s="2316"/>
      <c r="P431" s="2316"/>
      <c r="AH431" s="2323">
        <v>0</v>
      </c>
    </row>
    <row s="62286" customFormat="1" customHeight="1" ht="18.75" hidden="1">
      <c r="A432" s="2472" t="s">
        <v>262</v>
      </c>
      <c r="B432" s="2472" t="s">
        <v>263</v>
      </c>
      <c r="C432" s="1061"/>
      <c r="D432" s="3154"/>
      <c r="E432" s="2896"/>
      <c r="F432" s="3075" t="str">
        <f>INDEX(PT_DIFFERENTIATION_VTAR,MATCH(A432,PT_DIFFERENTIATION_VTAR_ID,0))</f>
        <v>Тарифы на услуги по передаче теплоносителя</v>
      </c>
      <c r="G432" s="3119" t="str">
        <f>INDEX(PT_DIFFERENTIATION_NTAR,MATCH(B432,PT_DIFFERENTIATION_NTAR_ID,0))</f>
        <v/>
      </c>
      <c r="H432" s="2554"/>
      <c r="I432" s="2431"/>
      <c r="J432" s="2465"/>
      <c r="K432" s="2470"/>
      <c r="L432" s="2554" t="s">
        <v>381</v>
      </c>
      <c r="M432" s="1033"/>
      <c r="N432" s="1026"/>
      <c r="O432" s="2316"/>
      <c r="P432" s="2316"/>
      <c r="AH432" s="2323">
        <v>0</v>
      </c>
    </row>
    <row s="62286" customFormat="1" customHeight="1" ht="18.75" hidden="1">
      <c r="A433" s="2472"/>
      <c r="B433" s="2472"/>
      <c r="C433" s="1061" t="s">
        <v>1219</v>
      </c>
      <c r="D433" s="3154"/>
      <c r="E433" s="2896"/>
      <c r="F433" s="3075"/>
      <c r="G433" s="3119"/>
      <c r="H433" s="2192"/>
      <c r="I433" s="1343" t="s">
        <v>1218</v>
      </c>
      <c r="J433" s="1263"/>
      <c r="K433" s="2192"/>
      <c r="L433" s="906"/>
      <c r="M433" s="1033"/>
      <c r="N433" s="1026"/>
      <c r="O433" s="2316"/>
      <c r="P433" s="2316"/>
      <c r="AH433" s="2323">
        <v>0</v>
      </c>
    </row>
    <row s="62286" customFormat="1" customHeight="1" ht="0.75" hidden="1">
      <c r="A434" s="2472"/>
      <c r="B434" s="2472"/>
      <c r="C434" s="1061" t="s">
        <v>1228</v>
      </c>
      <c r="D434" s="3154"/>
      <c r="E434" s="2896"/>
      <c r="F434" s="3075"/>
      <c r="G434" s="1092"/>
      <c r="H434" s="2192"/>
      <c r="I434" s="1343"/>
      <c r="J434" s="1263"/>
      <c r="K434" s="2192"/>
      <c r="L434" s="906"/>
      <c r="M434" s="1033"/>
      <c r="N434" s="1026"/>
      <c r="O434" s="2316"/>
      <c r="P434" s="2316"/>
      <c r="AH434" s="2323">
        <v>0</v>
      </c>
    </row>
    <row s="62286" customFormat="1" customHeight="1" ht="18.75" hidden="1">
      <c r="A435" s="2472" t="s">
        <v>268</v>
      </c>
      <c r="B435" s="2472" t="s">
        <v>269</v>
      </c>
      <c r="C435" s="1061"/>
      <c r="D435" s="3154"/>
      <c r="E435" s="2896"/>
      <c r="F435" s="3075" t="str">
        <f>INDEX(PT_DIFFERENTIATION_VTAR,MATCH(A435,PT_DIFFERENTIATION_VTAR_ID,0))</f>
        <v>Плата за услуги по поддержанию резервной тепловой мощности при отсутствии потребления тепловой энергии</v>
      </c>
      <c r="G435" s="3119" t="str">
        <f>INDEX(PT_DIFFERENTIATION_NTAR,MATCH(B435,PT_DIFFERENTIATION_NTAR_ID,0))</f>
        <v/>
      </c>
      <c r="H435" s="2554"/>
      <c r="I435" s="2431"/>
      <c r="J435" s="2465"/>
      <c r="K435" s="2470"/>
      <c r="L435" s="2554" t="s">
        <v>381</v>
      </c>
      <c r="M435" s="1033"/>
      <c r="N435" s="1026"/>
      <c r="O435" s="2316"/>
      <c r="P435" s="2316"/>
      <c r="AH435" s="2323">
        <v>0</v>
      </c>
    </row>
    <row s="62286" customFormat="1" customHeight="1" ht="18.75" hidden="1">
      <c r="A436" s="2472"/>
      <c r="B436" s="2472"/>
      <c r="C436" s="1061" t="s">
        <v>1219</v>
      </c>
      <c r="D436" s="3154"/>
      <c r="E436" s="2896"/>
      <c r="F436" s="3075"/>
      <c r="G436" s="3119"/>
      <c r="H436" s="2192"/>
      <c r="I436" s="1343" t="s">
        <v>1218</v>
      </c>
      <c r="J436" s="1263"/>
      <c r="K436" s="2192"/>
      <c r="L436" s="906"/>
      <c r="M436" s="1033"/>
      <c r="N436" s="1026"/>
      <c r="O436" s="2316"/>
      <c r="P436" s="2316"/>
      <c r="AH436" s="2323">
        <v>0</v>
      </c>
    </row>
    <row s="62286" customFormat="1" customHeight="1" ht="0.75" hidden="1">
      <c r="A437" s="2472"/>
      <c r="B437" s="2472"/>
      <c r="C437" s="1061" t="s">
        <v>1228</v>
      </c>
      <c r="D437" s="3154"/>
      <c r="E437" s="2896"/>
      <c r="F437" s="3075"/>
      <c r="G437" s="1092"/>
      <c r="H437" s="2192"/>
      <c r="I437" s="1343"/>
      <c r="J437" s="1263"/>
      <c r="K437" s="2192"/>
      <c r="L437" s="906"/>
      <c r="M437" s="1033"/>
      <c r="N437" s="1026"/>
      <c r="O437" s="2316"/>
      <c r="P437" s="2316"/>
      <c r="AH437" s="2323">
        <v>0</v>
      </c>
    </row>
    <row s="62286" customFormat="1" customHeight="1" ht="18.75" hidden="1">
      <c r="A438" s="2472" t="s">
        <v>274</v>
      </c>
      <c r="B438" s="2472" t="s">
        <v>275</v>
      </c>
      <c r="C438" s="1061"/>
      <c r="D438" s="3154"/>
      <c r="E438" s="2896"/>
      <c r="F438" s="3075" t="str">
        <f>INDEX(PT_DIFFERENTIATION_VTAR,MATCH(A438,PT_DIFFERENTIATION_VTAR_ID,0))</f>
        <v>Плата за подключение (технологическое присоединение) к системе теплоснабжения</v>
      </c>
      <c r="G438" s="3119" t="str">
        <f>INDEX(PT_DIFFERENTIATION_NTAR,MATCH(B438,PT_DIFFERENTIATION_NTAR_ID,0))</f>
        <v/>
      </c>
      <c r="H438" s="2554"/>
      <c r="I438" s="2431"/>
      <c r="J438" s="2465"/>
      <c r="K438" s="2470"/>
      <c r="L438" s="2554" t="s">
        <v>381</v>
      </c>
      <c r="M438" s="1033"/>
      <c r="N438" s="1026"/>
      <c r="O438" s="2316"/>
      <c r="P438" s="2316"/>
      <c r="AH438" s="2323">
        <v>0</v>
      </c>
    </row>
    <row s="62286" customFormat="1" customHeight="1" ht="18.75" hidden="1">
      <c r="A439" s="2472"/>
      <c r="B439" s="2472"/>
      <c r="C439" s="1061" t="s">
        <v>1219</v>
      </c>
      <c r="D439" s="3154"/>
      <c r="E439" s="2896"/>
      <c r="F439" s="3075"/>
      <c r="G439" s="3119"/>
      <c r="H439" s="2192"/>
      <c r="I439" s="1343" t="s">
        <v>1218</v>
      </c>
      <c r="J439" s="1263"/>
      <c r="K439" s="2192"/>
      <c r="L439" s="906"/>
      <c r="M439" s="1033"/>
      <c r="N439" s="1026"/>
      <c r="O439" s="2316"/>
      <c r="P439" s="2316"/>
      <c r="AH439" s="2323">
        <v>0</v>
      </c>
    </row>
    <row s="62286" customFormat="1" customHeight="1" ht="0.75" hidden="1">
      <c r="A440" s="2472"/>
      <c r="B440" s="2472"/>
      <c r="C440" s="1061" t="s">
        <v>1228</v>
      </c>
      <c r="D440" s="3154"/>
      <c r="E440" s="2896"/>
      <c r="F440" s="3075"/>
      <c r="G440" s="1092"/>
      <c r="H440" s="2192"/>
      <c r="I440" s="1343"/>
      <c r="J440" s="1263"/>
      <c r="K440" s="2192"/>
      <c r="L440" s="906"/>
      <c r="M440" s="1033"/>
      <c r="N440" s="1026"/>
      <c r="O440" s="2316"/>
      <c r="P440" s="2316"/>
      <c r="AH440" s="2323">
        <v>0</v>
      </c>
    </row>
    <row s="62286" customFormat="1" customHeight="1" ht="18.75" hidden="1">
      <c r="A441" s="2472" t="s">
        <v>280</v>
      </c>
      <c r="B441" s="2472" t="s">
        <v>281</v>
      </c>
      <c r="C441" s="1061"/>
      <c r="D441" s="3154"/>
      <c r="E441" s="2896"/>
      <c r="F441" s="3075" t="str">
        <f>INDEX(PT_DIFFERENTIATION_VTAR,MATCH(A441,PT_DIFFERENTIATION_VTAR_ID,0))</f>
        <v>Плата за подключение (технологическое присоединение) к системе теплоснабжения (индивидуальная)</v>
      </c>
      <c r="G441" s="3119" t="str">
        <f>INDEX(PT_DIFFERENTIATION_NTAR,MATCH(B441,PT_DIFFERENTIATION_NTAR_ID,0))</f>
        <v/>
      </c>
      <c r="H441" s="2681"/>
      <c r="I441" s="2431"/>
      <c r="J441" s="2465"/>
      <c r="K441" s="2470"/>
      <c r="L441" s="2681" t="s">
        <v>381</v>
      </c>
      <c r="M441" s="1033"/>
      <c r="N441" s="1026"/>
      <c r="O441" s="2316"/>
      <c r="P441" s="2316"/>
      <c r="AH441" s="2323">
        <v>0</v>
      </c>
    </row>
    <row s="62286" customFormat="1" customHeight="1" ht="18.75" hidden="1">
      <c r="A442" s="2472"/>
      <c r="B442" s="2472"/>
      <c r="C442" s="1061" t="s">
        <v>1219</v>
      </c>
      <c r="D442" s="3154"/>
      <c r="E442" s="2896"/>
      <c r="F442" s="3075"/>
      <c r="G442" s="3119"/>
      <c r="H442" s="2192"/>
      <c r="I442" s="1343" t="s">
        <v>1218</v>
      </c>
      <c r="J442" s="1263"/>
      <c r="K442" s="2192"/>
      <c r="L442" s="906"/>
      <c r="M442" s="1033"/>
      <c r="N442" s="1026"/>
      <c r="O442" s="2316"/>
      <c r="P442" s="2316"/>
      <c r="AH442" s="2323">
        <v>0</v>
      </c>
    </row>
    <row s="62286" customFormat="1" customHeight="1" ht="0.75" hidden="1">
      <c r="A443" s="2472"/>
      <c r="B443" s="2472"/>
      <c r="C443" s="1061" t="s">
        <v>1228</v>
      </c>
      <c r="D443" s="3154"/>
      <c r="E443" s="2896"/>
      <c r="F443" s="3075"/>
      <c r="G443" s="1092"/>
      <c r="H443" s="2192"/>
      <c r="I443" s="1343"/>
      <c r="J443" s="1263"/>
      <c r="K443" s="2192"/>
      <c r="L443" s="906"/>
      <c r="M443" s="1033"/>
      <c r="N443" s="1026"/>
      <c r="O443" s="2316"/>
      <c r="P443" s="2316"/>
      <c r="AH443" s="2323">
        <v>0</v>
      </c>
    </row>
    <row s="62286" customFormat="1" customHeight="1" ht="18.75" hidden="1">
      <c r="A444" s="2472" t="s">
        <v>300</v>
      </c>
      <c r="B444" s="2472" t="s">
        <v>301</v>
      </c>
      <c r="C444" s="1061"/>
      <c r="D444" s="3154"/>
      <c r="E444" s="2896"/>
      <c r="F444" s="3075" t="str">
        <f>INDEX(PT_DIFFERENTIATION_VTAR,MATCH(A444,PT_DIFFERENTIATION_VTAR_ID,0))</f>
        <v>Тариф на питьевую воду (питьевое водоснабжение)</v>
      </c>
      <c r="G444" s="3119" t="str">
        <f>INDEX(PT_DIFFERENTIATION_NTAR,MATCH(B444,PT_DIFFERENTIATION_NTAR_ID,0))</f>
        <v/>
      </c>
      <c r="H444" s="2554"/>
      <c r="I444" s="2431"/>
      <c r="J444" s="2465"/>
      <c r="K444" s="2470"/>
      <c r="L444" s="2554" t="s">
        <v>381</v>
      </c>
      <c r="M444" s="1033"/>
      <c r="N444" s="1026"/>
      <c r="O444" s="2316"/>
      <c r="P444" s="2316"/>
      <c r="AH444" s="2323">
        <v>0</v>
      </c>
    </row>
    <row s="62286" customFormat="1" customHeight="1" ht="18.75" hidden="1">
      <c r="A445" s="2472"/>
      <c r="B445" s="2472"/>
      <c r="C445" s="1061" t="s">
        <v>1219</v>
      </c>
      <c r="D445" s="3154"/>
      <c r="E445" s="2896"/>
      <c r="F445" s="3075"/>
      <c r="G445" s="3119"/>
      <c r="H445" s="2192"/>
      <c r="I445" s="1343" t="s">
        <v>1218</v>
      </c>
      <c r="J445" s="1263"/>
      <c r="K445" s="2192"/>
      <c r="L445" s="906"/>
      <c r="M445" s="1033"/>
      <c r="N445" s="1026"/>
      <c r="O445" s="2316"/>
      <c r="P445" s="2316"/>
      <c r="AH445" s="2323">
        <v>0</v>
      </c>
    </row>
    <row s="62286" customFormat="1" customHeight="1" ht="0.75" hidden="1">
      <c r="A446" s="2472"/>
      <c r="B446" s="2472"/>
      <c r="C446" s="1061" t="s">
        <v>1228</v>
      </c>
      <c r="D446" s="3154"/>
      <c r="E446" s="2896"/>
      <c r="F446" s="3075"/>
      <c r="G446" s="1092"/>
      <c r="H446" s="2192"/>
      <c r="I446" s="1343"/>
      <c r="J446" s="1263"/>
      <c r="K446" s="2192"/>
      <c r="L446" s="906"/>
      <c r="M446" s="1033"/>
      <c r="N446" s="1026"/>
      <c r="O446" s="2316"/>
      <c r="P446" s="2316"/>
      <c r="AH446" s="2323">
        <v>0</v>
      </c>
    </row>
    <row s="62286" customFormat="1" customHeight="1" ht="18.75" hidden="1">
      <c r="A447" s="2472" t="s">
        <v>305</v>
      </c>
      <c r="B447" s="2472" t="s">
        <v>306</v>
      </c>
      <c r="C447" s="1061"/>
      <c r="D447" s="3154"/>
      <c r="E447" s="2896"/>
      <c r="F447" s="3075" t="str">
        <f>INDEX(PT_DIFFERENTIATION_VTAR,MATCH(A447,PT_DIFFERENTIATION_VTAR_ID,0))</f>
        <v>Тариф на техническую воду</v>
      </c>
      <c r="G447" s="3119" t="str">
        <f>INDEX(PT_DIFFERENTIATION_NTAR,MATCH(B447,PT_DIFFERENTIATION_NTAR_ID,0))</f>
        <v/>
      </c>
      <c r="H447" s="2554"/>
      <c r="I447" s="2431"/>
      <c r="J447" s="2465"/>
      <c r="K447" s="2470"/>
      <c r="L447" s="2554" t="s">
        <v>381</v>
      </c>
      <c r="M447" s="1033"/>
      <c r="N447" s="1026"/>
      <c r="O447" s="2316"/>
      <c r="P447" s="2316"/>
      <c r="AH447" s="2323">
        <v>0</v>
      </c>
    </row>
    <row s="62286" customFormat="1" customHeight="1" ht="18.75" hidden="1">
      <c r="A448" s="2472"/>
      <c r="B448" s="2472"/>
      <c r="C448" s="1061" t="s">
        <v>1219</v>
      </c>
      <c r="D448" s="3154"/>
      <c r="E448" s="2896"/>
      <c r="F448" s="3075"/>
      <c r="G448" s="3119"/>
      <c r="H448" s="2192"/>
      <c r="I448" s="1343" t="s">
        <v>1218</v>
      </c>
      <c r="J448" s="1263"/>
      <c r="K448" s="2192"/>
      <c r="L448" s="906"/>
      <c r="M448" s="1033"/>
      <c r="N448" s="1026"/>
      <c r="O448" s="2316"/>
      <c r="P448" s="2316"/>
      <c r="AH448" s="2323">
        <v>0</v>
      </c>
    </row>
    <row s="62286" customFormat="1" customHeight="1" ht="0.75" hidden="1">
      <c r="A449" s="2472"/>
      <c r="B449" s="2472"/>
      <c r="C449" s="1061" t="s">
        <v>1228</v>
      </c>
      <c r="D449" s="3154"/>
      <c r="E449" s="2896"/>
      <c r="F449" s="3075"/>
      <c r="G449" s="1092"/>
      <c r="H449" s="2192"/>
      <c r="I449" s="1343"/>
      <c r="J449" s="1263"/>
      <c r="K449" s="2192"/>
      <c r="L449" s="906"/>
      <c r="M449" s="1033"/>
      <c r="N449" s="1026"/>
      <c r="O449" s="2316"/>
      <c r="P449" s="2316"/>
      <c r="AH449" s="2323">
        <v>0</v>
      </c>
    </row>
    <row s="62286" customFormat="1" customHeight="1" ht="18.75" hidden="1">
      <c r="A450" s="2472" t="s">
        <v>310</v>
      </c>
      <c r="B450" s="2472" t="s">
        <v>311</v>
      </c>
      <c r="C450" s="1061"/>
      <c r="D450" s="3154"/>
      <c r="E450" s="2896"/>
      <c r="F450" s="3075" t="str">
        <f>INDEX(PT_DIFFERENTIATION_VTAR,MATCH(A450,PT_DIFFERENTIATION_VTAR_ID,0))</f>
        <v>Тариф на транспортировку воды</v>
      </c>
      <c r="G450" s="3119" t="str">
        <f>INDEX(PT_DIFFERENTIATION_NTAR,MATCH(B450,PT_DIFFERENTIATION_NTAR_ID,0))</f>
        <v/>
      </c>
      <c r="H450" s="2554"/>
      <c r="I450" s="2431"/>
      <c r="J450" s="2465"/>
      <c r="K450" s="2470"/>
      <c r="L450" s="2554" t="s">
        <v>381</v>
      </c>
      <c r="M450" s="1033"/>
      <c r="N450" s="1026"/>
      <c r="O450" s="2316"/>
      <c r="P450" s="2316"/>
      <c r="AH450" s="2323">
        <v>0</v>
      </c>
    </row>
    <row s="62286" customFormat="1" customHeight="1" ht="18.75" hidden="1">
      <c r="A451" s="2472"/>
      <c r="B451" s="2472"/>
      <c r="C451" s="1061" t="s">
        <v>1219</v>
      </c>
      <c r="D451" s="3154"/>
      <c r="E451" s="2896"/>
      <c r="F451" s="3075"/>
      <c r="G451" s="3119"/>
      <c r="H451" s="2192"/>
      <c r="I451" s="1343" t="s">
        <v>1218</v>
      </c>
      <c r="J451" s="1263"/>
      <c r="K451" s="2192"/>
      <c r="L451" s="906"/>
      <c r="M451" s="1033"/>
      <c r="N451" s="1026"/>
      <c r="O451" s="2316"/>
      <c r="P451" s="2316"/>
      <c r="AH451" s="2323">
        <v>0</v>
      </c>
    </row>
    <row s="62286" customFormat="1" customHeight="1" ht="0.75" hidden="1">
      <c r="A452" s="2472"/>
      <c r="B452" s="2472"/>
      <c r="C452" s="1061" t="s">
        <v>1228</v>
      </c>
      <c r="D452" s="3154"/>
      <c r="E452" s="2896"/>
      <c r="F452" s="3075"/>
      <c r="G452" s="1092"/>
      <c r="H452" s="2192"/>
      <c r="I452" s="1343"/>
      <c r="J452" s="1263"/>
      <c r="K452" s="2192"/>
      <c r="L452" s="906"/>
      <c r="M452" s="1033"/>
      <c r="N452" s="1026"/>
      <c r="O452" s="2316"/>
      <c r="P452" s="2316"/>
      <c r="AH452" s="2323">
        <v>0</v>
      </c>
    </row>
    <row s="62286" customFormat="1" customHeight="1" ht="18.75" hidden="1">
      <c r="A453" s="2472" t="s">
        <v>315</v>
      </c>
      <c r="B453" s="2472" t="s">
        <v>316</v>
      </c>
      <c r="C453" s="1061"/>
      <c r="D453" s="3154"/>
      <c r="E453" s="2896"/>
      <c r="F453" s="3075" t="str">
        <f>INDEX(PT_DIFFERENTIATION_VTAR,MATCH(A453,PT_DIFFERENTIATION_VTAR_ID,0))</f>
        <v>Тариф на подвоз воды</v>
      </c>
      <c r="G453" s="3119" t="str">
        <f>INDEX(PT_DIFFERENTIATION_NTAR,MATCH(B453,PT_DIFFERENTIATION_NTAR_ID,0))</f>
        <v/>
      </c>
      <c r="H453" s="2554"/>
      <c r="I453" s="2431"/>
      <c r="J453" s="2465"/>
      <c r="K453" s="2470"/>
      <c r="L453" s="2554" t="s">
        <v>381</v>
      </c>
      <c r="M453" s="1033"/>
      <c r="N453" s="1026"/>
      <c r="O453" s="2316"/>
      <c r="P453" s="2316"/>
      <c r="AH453" s="2323">
        <v>0</v>
      </c>
    </row>
    <row s="62286" customFormat="1" customHeight="1" ht="18.75" hidden="1">
      <c r="A454" s="2472"/>
      <c r="B454" s="2472"/>
      <c r="C454" s="1061" t="s">
        <v>1219</v>
      </c>
      <c r="D454" s="3154"/>
      <c r="E454" s="2896"/>
      <c r="F454" s="3075"/>
      <c r="G454" s="3119"/>
      <c r="H454" s="2192"/>
      <c r="I454" s="1343" t="s">
        <v>1218</v>
      </c>
      <c r="J454" s="1263"/>
      <c r="K454" s="2192"/>
      <c r="L454" s="906"/>
      <c r="M454" s="1033"/>
      <c r="N454" s="1026"/>
      <c r="O454" s="2316"/>
      <c r="P454" s="2316"/>
      <c r="AH454" s="2323">
        <v>0</v>
      </c>
    </row>
    <row s="62286" customFormat="1" customHeight="1" ht="0.75" hidden="1">
      <c r="A455" s="2472"/>
      <c r="B455" s="2472"/>
      <c r="C455" s="1061" t="s">
        <v>1228</v>
      </c>
      <c r="D455" s="3154"/>
      <c r="E455" s="2896"/>
      <c r="F455" s="3075"/>
      <c r="G455" s="1092"/>
      <c r="H455" s="2192"/>
      <c r="I455" s="1343"/>
      <c r="J455" s="1263"/>
      <c r="K455" s="2192"/>
      <c r="L455" s="906"/>
      <c r="M455" s="1033"/>
      <c r="N455" s="1026"/>
      <c r="O455" s="2316"/>
      <c r="P455" s="2316"/>
      <c r="AH455" s="2323">
        <v>0</v>
      </c>
    </row>
    <row s="62286" customFormat="1" customHeight="1" ht="18.75" hidden="1">
      <c r="A456" s="2472" t="s">
        <v>320</v>
      </c>
      <c r="B456" s="2472" t="s">
        <v>321</v>
      </c>
      <c r="C456" s="1061"/>
      <c r="D456" s="3154"/>
      <c r="E456" s="2896"/>
      <c r="F456" s="3075" t="str">
        <f>INDEX(PT_DIFFERENTIATION_VTAR,MATCH(A456,PT_DIFFERENTIATION_VTAR_ID,0))</f>
        <v>Тариф на подключение (технологическое присоединение) к централизованной системе холодного водоснабжения</v>
      </c>
      <c r="G456" s="3119" t="str">
        <f>INDEX(PT_DIFFERENTIATION_NTAR,MATCH(B456,PT_DIFFERENTIATION_NTAR_ID,0))</f>
        <v/>
      </c>
      <c r="H456" s="2554"/>
      <c r="I456" s="2431"/>
      <c r="J456" s="2465"/>
      <c r="K456" s="2470"/>
      <c r="L456" s="2554" t="s">
        <v>381</v>
      </c>
      <c r="M456" s="1033"/>
      <c r="N456" s="1026"/>
      <c r="O456" s="2316"/>
      <c r="P456" s="2316"/>
      <c r="AH456" s="2323">
        <v>0</v>
      </c>
    </row>
    <row s="62286" customFormat="1" customHeight="1" ht="18.75" hidden="1">
      <c r="A457" s="2472"/>
      <c r="B457" s="2472"/>
      <c r="C457" s="1061" t="s">
        <v>1219</v>
      </c>
      <c r="D457" s="3154"/>
      <c r="E457" s="2896"/>
      <c r="F457" s="3075"/>
      <c r="G457" s="3119"/>
      <c r="H457" s="2192"/>
      <c r="I457" s="1343" t="s">
        <v>1218</v>
      </c>
      <c r="J457" s="1263"/>
      <c r="K457" s="2192"/>
      <c r="L457" s="906"/>
      <c r="M457" s="1033"/>
      <c r="N457" s="1026"/>
      <c r="O457" s="2316"/>
      <c r="P457" s="2316"/>
      <c r="AH457" s="2323">
        <v>0</v>
      </c>
    </row>
    <row s="62286" customFormat="1" customHeight="1" ht="0.75" hidden="1">
      <c r="A458" s="2472"/>
      <c r="B458" s="2472"/>
      <c r="C458" s="1061" t="s">
        <v>1228</v>
      </c>
      <c r="D458" s="3154"/>
      <c r="E458" s="2896"/>
      <c r="F458" s="3075"/>
      <c r="G458" s="1092"/>
      <c r="H458" s="2192"/>
      <c r="I458" s="1343"/>
      <c r="J458" s="1263"/>
      <c r="K458" s="2192"/>
      <c r="L458" s="906"/>
      <c r="M458" s="1033"/>
      <c r="N458" s="1026"/>
      <c r="O458" s="2316"/>
      <c r="P458" s="2316"/>
      <c r="AH458" s="2323">
        <v>0</v>
      </c>
    </row>
    <row s="62286" customFormat="1" customHeight="1" ht="18.75" hidden="1">
      <c r="A459" s="2472" t="s">
        <v>325</v>
      </c>
      <c r="B459" s="2472" t="s">
        <v>326</v>
      </c>
      <c r="C459" s="1061"/>
      <c r="D459" s="3154"/>
      <c r="E459" s="2896"/>
      <c r="F459" s="3075" t="str">
        <f>INDEX(PT_DIFFERENTIATION_VTAR,MATCH(A459,PT_DIFFERENTIATION_VTAR_ID,0))</f>
        <v>Тариф на горячую воду (горячее водоснабжение)</v>
      </c>
      <c r="G459" s="3119" t="str">
        <f>INDEX(PT_DIFFERENTIATION_NTAR,MATCH(B459,PT_DIFFERENTIATION_NTAR_ID,0))</f>
        <v/>
      </c>
      <c r="H459" s="2554"/>
      <c r="I459" s="2431"/>
      <c r="J459" s="2465"/>
      <c r="K459" s="2470"/>
      <c r="L459" s="2554" t="s">
        <v>381</v>
      </c>
      <c r="M459" s="1033"/>
      <c r="N459" s="1026"/>
      <c r="O459" s="2316"/>
      <c r="P459" s="2316"/>
      <c r="AH459" s="2323">
        <v>0</v>
      </c>
    </row>
    <row s="62286" customFormat="1" customHeight="1" ht="18.75" hidden="1">
      <c r="A460" s="2472"/>
      <c r="B460" s="2472"/>
      <c r="C460" s="1061" t="s">
        <v>1219</v>
      </c>
      <c r="D460" s="3154"/>
      <c r="E460" s="2896"/>
      <c r="F460" s="3075"/>
      <c r="G460" s="3119"/>
      <c r="H460" s="2192"/>
      <c r="I460" s="1343" t="s">
        <v>1218</v>
      </c>
      <c r="J460" s="1263"/>
      <c r="K460" s="2192"/>
      <c r="L460" s="906"/>
      <c r="M460" s="1033"/>
      <c r="N460" s="1026"/>
      <c r="O460" s="2316"/>
      <c r="P460" s="2316"/>
      <c r="AH460" s="2323">
        <v>0</v>
      </c>
    </row>
    <row s="62286" customFormat="1" customHeight="1" ht="0.75" hidden="1">
      <c r="A461" s="2472"/>
      <c r="B461" s="2472"/>
      <c r="C461" s="1061" t="s">
        <v>1228</v>
      </c>
      <c r="D461" s="3154"/>
      <c r="E461" s="2896"/>
      <c r="F461" s="3075"/>
      <c r="G461" s="1092"/>
      <c r="H461" s="2192"/>
      <c r="I461" s="1343"/>
      <c r="J461" s="1263"/>
      <c r="K461" s="2192"/>
      <c r="L461" s="906"/>
      <c r="M461" s="1033"/>
      <c r="N461" s="1026"/>
      <c r="O461" s="2316"/>
      <c r="P461" s="2316"/>
      <c r="AH461" s="2323">
        <v>0</v>
      </c>
    </row>
    <row s="62286" customFormat="1" customHeight="1" ht="18.75" hidden="1">
      <c r="A462" s="2472" t="s">
        <v>330</v>
      </c>
      <c r="B462" s="2472" t="s">
        <v>331</v>
      </c>
      <c r="C462" s="1061"/>
      <c r="D462" s="3154"/>
      <c r="E462" s="2896"/>
      <c r="F462" s="3075" t="str">
        <f>INDEX(PT_DIFFERENTIATION_VTAR,MATCH(A462,PT_DIFFERENTIATION_VTAR_ID,0))</f>
        <v>Тариф на транспортировку горячей воды</v>
      </c>
      <c r="G462" s="3119" t="str">
        <f>INDEX(PT_DIFFERENTIATION_NTAR,MATCH(B462,PT_DIFFERENTIATION_NTAR_ID,0))</f>
        <v/>
      </c>
      <c r="H462" s="2554"/>
      <c r="I462" s="2431"/>
      <c r="J462" s="2465"/>
      <c r="K462" s="2470"/>
      <c r="L462" s="2554" t="s">
        <v>381</v>
      </c>
      <c r="M462" s="1033"/>
      <c r="N462" s="1026"/>
      <c r="O462" s="2316"/>
      <c r="P462" s="2316"/>
      <c r="AH462" s="2323">
        <v>0</v>
      </c>
    </row>
    <row s="62286" customFormat="1" customHeight="1" ht="18.75" hidden="1">
      <c r="A463" s="2472"/>
      <c r="B463" s="2472"/>
      <c r="C463" s="1061" t="s">
        <v>1219</v>
      </c>
      <c r="D463" s="3154"/>
      <c r="E463" s="2896"/>
      <c r="F463" s="3075"/>
      <c r="G463" s="3119"/>
      <c r="H463" s="2192"/>
      <c r="I463" s="1343" t="s">
        <v>1218</v>
      </c>
      <c r="J463" s="1263"/>
      <c r="K463" s="2192"/>
      <c r="L463" s="906"/>
      <c r="M463" s="1033"/>
      <c r="N463" s="1026"/>
      <c r="O463" s="2316"/>
      <c r="P463" s="2316"/>
      <c r="AH463" s="2323">
        <v>0</v>
      </c>
    </row>
    <row s="62286" customFormat="1" customHeight="1" ht="0.75" hidden="1">
      <c r="A464" s="2472"/>
      <c r="B464" s="2472"/>
      <c r="C464" s="1061" t="s">
        <v>1228</v>
      </c>
      <c r="D464" s="3154"/>
      <c r="E464" s="2896"/>
      <c r="F464" s="3075"/>
      <c r="G464" s="1092"/>
      <c r="H464" s="2192"/>
      <c r="I464" s="1343"/>
      <c r="J464" s="1263"/>
      <c r="K464" s="2192"/>
      <c r="L464" s="906"/>
      <c r="M464" s="1033"/>
      <c r="N464" s="1026"/>
      <c r="O464" s="2316"/>
      <c r="P464" s="2316"/>
      <c r="AH464" s="2323">
        <v>0</v>
      </c>
    </row>
    <row s="62286" customFormat="1" customHeight="1" ht="18.75" hidden="1">
      <c r="A465" s="2472" t="s">
        <v>335</v>
      </c>
      <c r="B465" s="2472" t="s">
        <v>336</v>
      </c>
      <c r="C465" s="1061"/>
      <c r="D465" s="3154"/>
      <c r="E465" s="2896"/>
      <c r="F465" s="3075" t="str">
        <f>INDEX(PT_DIFFERENTIATION_VTAR,MATCH(A465,PT_DIFFERENTIATION_VTAR_ID,0))</f>
        <v>Тариф на подключение (технологическое присоединение) к централизованной системе горячего водоснабжения</v>
      </c>
      <c r="G465" s="3119" t="str">
        <f>INDEX(PT_DIFFERENTIATION_NTAR,MATCH(B465,PT_DIFFERENTIATION_NTAR_ID,0))</f>
        <v/>
      </c>
      <c r="H465" s="2554"/>
      <c r="I465" s="2431"/>
      <c r="J465" s="2465"/>
      <c r="K465" s="2470"/>
      <c r="L465" s="2554" t="s">
        <v>381</v>
      </c>
      <c r="M465" s="1033"/>
      <c r="N465" s="1026"/>
      <c r="O465" s="2316"/>
      <c r="P465" s="2316"/>
      <c r="AH465" s="2323">
        <v>0</v>
      </c>
    </row>
    <row s="62286" customFormat="1" customHeight="1" ht="18.75" hidden="1">
      <c r="A466" s="2472"/>
      <c r="B466" s="2472"/>
      <c r="C466" s="1061" t="s">
        <v>1219</v>
      </c>
      <c r="D466" s="3154"/>
      <c r="E466" s="2896"/>
      <c r="F466" s="3075"/>
      <c r="G466" s="3119"/>
      <c r="H466" s="2192"/>
      <c r="I466" s="1343" t="s">
        <v>1218</v>
      </c>
      <c r="J466" s="1263"/>
      <c r="K466" s="2192"/>
      <c r="L466" s="906"/>
      <c r="M466" s="1033"/>
      <c r="N466" s="1026"/>
      <c r="O466" s="2316"/>
      <c r="P466" s="2316"/>
      <c r="AH466" s="2323">
        <v>0</v>
      </c>
    </row>
    <row s="62286" customFormat="1" customHeight="1" ht="0.75" hidden="1">
      <c r="A467" s="2472"/>
      <c r="B467" s="2472"/>
      <c r="C467" s="1061" t="s">
        <v>1228</v>
      </c>
      <c r="D467" s="3154"/>
      <c r="E467" s="2896"/>
      <c r="F467" s="3075"/>
      <c r="G467" s="1092"/>
      <c r="H467" s="2192"/>
      <c r="I467" s="1343"/>
      <c r="J467" s="1263"/>
      <c r="K467" s="2192"/>
      <c r="L467" s="906"/>
      <c r="M467" s="1033"/>
      <c r="N467" s="1026"/>
      <c r="O467" s="2316"/>
      <c r="P467" s="2316"/>
      <c r="AH467" s="2323">
        <v>0</v>
      </c>
    </row>
    <row s="62286" customFormat="1" customHeight="1" ht="18.75" hidden="1">
      <c r="A468" s="2472" t="s">
        <v>340</v>
      </c>
      <c r="B468" s="2472" t="s">
        <v>341</v>
      </c>
      <c r="C468" s="1061"/>
      <c r="D468" s="3154"/>
      <c r="E468" s="2896"/>
      <c r="F468" s="3075" t="str">
        <f>INDEX(PT_DIFFERENTIATION_VTAR,MATCH(A468,PT_DIFFERENTIATION_VTAR_ID,0))</f>
        <v>Тариф на водоотведение</v>
      </c>
      <c r="G468" s="3119" t="str">
        <f>INDEX(PT_DIFFERENTIATION_NTAR,MATCH(B468,PT_DIFFERENTIATION_NTAR_ID,0))</f>
        <v/>
      </c>
      <c r="H468" s="2554"/>
      <c r="I468" s="2431"/>
      <c r="J468" s="2465"/>
      <c r="K468" s="2470"/>
      <c r="L468" s="2554" t="s">
        <v>381</v>
      </c>
      <c r="M468" s="1033"/>
      <c r="N468" s="1026"/>
      <c r="O468" s="2316"/>
      <c r="P468" s="2316"/>
      <c r="AH468" s="2323">
        <v>0</v>
      </c>
    </row>
    <row s="62286" customFormat="1" customHeight="1" ht="18.75" hidden="1">
      <c r="A469" s="2472"/>
      <c r="B469" s="2472"/>
      <c r="C469" s="1061" t="s">
        <v>1219</v>
      </c>
      <c r="D469" s="3154"/>
      <c r="E469" s="2896"/>
      <c r="F469" s="3075"/>
      <c r="G469" s="3119"/>
      <c r="H469" s="2192"/>
      <c r="I469" s="1343" t="s">
        <v>1218</v>
      </c>
      <c r="J469" s="1263"/>
      <c r="K469" s="2192"/>
      <c r="L469" s="906"/>
      <c r="M469" s="1033"/>
      <c r="N469" s="1026"/>
      <c r="O469" s="2316"/>
      <c r="P469" s="2316"/>
      <c r="AH469" s="2323">
        <v>0</v>
      </c>
    </row>
    <row s="62286" customFormat="1" customHeight="1" ht="0.75" hidden="1">
      <c r="A470" s="2472"/>
      <c r="B470" s="2472"/>
      <c r="C470" s="1061" t="s">
        <v>1228</v>
      </c>
      <c r="D470" s="3154"/>
      <c r="E470" s="2896"/>
      <c r="F470" s="3075"/>
      <c r="G470" s="1092"/>
      <c r="H470" s="2192"/>
      <c r="I470" s="1343"/>
      <c r="J470" s="1263"/>
      <c r="K470" s="2192"/>
      <c r="L470" s="906"/>
      <c r="M470" s="1033"/>
      <c r="N470" s="1026"/>
      <c r="O470" s="2316"/>
      <c r="P470" s="2316"/>
      <c r="AH470" s="2323">
        <v>0</v>
      </c>
    </row>
    <row s="62286" customFormat="1" customHeight="1" ht="18.75" hidden="1">
      <c r="A471" s="2472" t="s">
        <v>345</v>
      </c>
      <c r="B471" s="2472" t="s">
        <v>346</v>
      </c>
      <c r="C471" s="1061"/>
      <c r="D471" s="3154"/>
      <c r="E471" s="2896"/>
      <c r="F471" s="3075" t="str">
        <f>INDEX(PT_DIFFERENTIATION_VTAR,MATCH(A471,PT_DIFFERENTIATION_VTAR_ID,0))</f>
        <v>Тариф на транспортировку сточных вод</v>
      </c>
      <c r="G471" s="3119" t="str">
        <f>INDEX(PT_DIFFERENTIATION_NTAR,MATCH(B471,PT_DIFFERENTIATION_NTAR_ID,0))</f>
        <v/>
      </c>
      <c r="H471" s="2554"/>
      <c r="I471" s="2431"/>
      <c r="J471" s="2465"/>
      <c r="K471" s="2470"/>
      <c r="L471" s="2554" t="s">
        <v>381</v>
      </c>
      <c r="M471" s="1033"/>
      <c r="N471" s="1026"/>
      <c r="O471" s="2316"/>
      <c r="P471" s="2316"/>
      <c r="AH471" s="2323">
        <v>0</v>
      </c>
    </row>
    <row s="62286" customFormat="1" customHeight="1" ht="18.75" hidden="1">
      <c r="A472" s="2472"/>
      <c r="B472" s="2472"/>
      <c r="C472" s="1061" t="s">
        <v>1219</v>
      </c>
      <c r="D472" s="3154"/>
      <c r="E472" s="2896"/>
      <c r="F472" s="3075"/>
      <c r="G472" s="3119"/>
      <c r="H472" s="2192"/>
      <c r="I472" s="1343" t="s">
        <v>1218</v>
      </c>
      <c r="J472" s="1263"/>
      <c r="K472" s="2192"/>
      <c r="L472" s="906"/>
      <c r="M472" s="1033"/>
      <c r="N472" s="1026"/>
      <c r="O472" s="2316"/>
      <c r="P472" s="2316"/>
      <c r="AH472" s="2323">
        <v>0</v>
      </c>
    </row>
    <row s="62286" customFormat="1" customHeight="1" ht="0.75" hidden="1">
      <c r="A473" s="2472"/>
      <c r="B473" s="2472"/>
      <c r="C473" s="1061" t="s">
        <v>1228</v>
      </c>
      <c r="D473" s="3154"/>
      <c r="E473" s="2896"/>
      <c r="F473" s="3075"/>
      <c r="G473" s="1092"/>
      <c r="H473" s="2192"/>
      <c r="I473" s="1343"/>
      <c r="J473" s="1263"/>
      <c r="K473" s="2192"/>
      <c r="L473" s="906"/>
      <c r="M473" s="1033"/>
      <c r="N473" s="1026"/>
      <c r="O473" s="2316"/>
      <c r="P473" s="2316"/>
      <c r="AH473" s="2323">
        <v>0</v>
      </c>
    </row>
    <row s="62286" customFormat="1" customHeight="1" ht="18.75" hidden="1">
      <c r="A474" s="2472" t="s">
        <v>350</v>
      </c>
      <c r="B474" s="2472" t="s">
        <v>351</v>
      </c>
      <c r="C474" s="1061"/>
      <c r="D474" s="3154"/>
      <c r="E474" s="2896"/>
      <c r="F474" s="3075" t="str">
        <f>INDEX(PT_DIFFERENTIATION_VTAR,MATCH(A474,PT_DIFFERENTIATION_VTAR_ID,0))</f>
        <v>Тариф на подключение (технологическое присоединение) к централизованной системе водоотведения</v>
      </c>
      <c r="G474" s="3119" t="str">
        <f>INDEX(PT_DIFFERENTIATION_NTAR,MATCH(B474,PT_DIFFERENTIATION_NTAR_ID,0))</f>
        <v/>
      </c>
      <c r="H474" s="2554"/>
      <c r="I474" s="2431"/>
      <c r="J474" s="2465"/>
      <c r="K474" s="2470"/>
      <c r="L474" s="2554" t="s">
        <v>381</v>
      </c>
      <c r="M474" s="1033"/>
      <c r="N474" s="1026"/>
      <c r="O474" s="2316"/>
      <c r="P474" s="2316"/>
      <c r="AH474" s="2323">
        <v>0</v>
      </c>
    </row>
    <row s="62286" customFormat="1" customHeight="1" ht="18.75" hidden="1">
      <c r="A475" s="2472"/>
      <c r="B475" s="2472"/>
      <c r="C475" s="1061" t="s">
        <v>1219</v>
      </c>
      <c r="D475" s="3154"/>
      <c r="E475" s="2896"/>
      <c r="F475" s="3075"/>
      <c r="G475" s="3119"/>
      <c r="H475" s="2192"/>
      <c r="I475" s="1343" t="s">
        <v>1218</v>
      </c>
      <c r="J475" s="1263"/>
      <c r="K475" s="2192"/>
      <c r="L475" s="906"/>
      <c r="M475" s="1033"/>
      <c r="N475" s="1026"/>
      <c r="O475" s="2316"/>
      <c r="P475" s="2316"/>
      <c r="AH475" s="2323">
        <v>0</v>
      </c>
    </row>
    <row s="62286" customFormat="1" customHeight="1" ht="1.05">
      <c r="A476" s="2472"/>
      <c r="B476" s="2472"/>
      <c r="C476" s="1061" t="s">
        <v>1228</v>
      </c>
      <c r="D476" s="3154"/>
      <c r="E476" s="2896"/>
      <c r="F476" s="3075"/>
      <c r="G476" s="1092"/>
      <c r="H476" s="2192"/>
      <c r="I476" s="1343"/>
      <c r="J476" s="1263"/>
      <c r="K476" s="2192"/>
      <c r="L476" s="906"/>
      <c r="M476" s="1033"/>
      <c r="N476" s="1026"/>
      <c r="O476" s="2316"/>
      <c r="P476" s="2316"/>
      <c r="AH476" s="2323">
        <v>1</v>
      </c>
    </row>
    <row customHeight="1" ht="27.299999999999997">
      <c r="A477" s="2472"/>
      <c r="B477" s="2472"/>
      <c r="D477" s="1068"/>
      <c r="E477" s="839" t="s">
        <v>93</v>
      </c>
      <c r="F477" s="315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477" s="3152"/>
      <c r="H477" s="3152"/>
      <c r="I477" s="3152"/>
      <c r="J477" s="3152"/>
      <c r="K477" s="3152"/>
      <c r="L477" s="3152"/>
      <c r="M477" s="989"/>
      <c r="N477" s="1026"/>
      <c r="AH477" s="1066">
        <v>26</v>
      </c>
    </row>
    <row s="62286" customFormat="1" customHeight="1" ht="60.75">
      <c r="A478" s="2472" t="s">
        <v>166</v>
      </c>
      <c r="B478" s="2472" t="s">
        <v>167</v>
      </c>
      <c r="C478" s="1061"/>
      <c r="D478" s="3154"/>
      <c r="E478" s="2896"/>
      <c r="F478" s="3075" t="str">
        <f>INDEX(PT_DIFFERENTIATION_VTAR,MATCH(A478,PT_DIFFERENTIATION_VTAR_ID,0))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478" s="3119" t="str">
        <f>INDEX(PT_DIFFERENTIATION_NTAR,MATCH(B478,PT_DIFFERENTIATION_NTAR_ID,0))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478" s="2554"/>
      <c r="I478" s="26819">
        <v>45292</v>
      </c>
      <c r="J478" s="2465">
        <v>45657</v>
      </c>
      <c r="K478" s="2470">
        <v>0</v>
      </c>
      <c r="L478" s="2554" t="s">
        <v>381</v>
      </c>
      <c r="M478" s="28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478" s="1026"/>
      <c r="O478" s="2316"/>
      <c r="P478" s="2316"/>
      <c r="AH478" s="2323">
        <v>0</v>
      </c>
    </row>
    <row s="62286" customFormat="1" customHeight="1" ht="56.25">
      <c r="A479" s="23333"/>
      <c r="B479" s="23333"/>
      <c r="C479" s="26822"/>
      <c r="D479" s="26823"/>
      <c r="E479" s="26824"/>
      <c r="F479" s="26824"/>
      <c r="G479" s="26824"/>
      <c r="H479" s="23204" t="s">
        <v>104</v>
      </c>
      <c r="I479" s="26819">
        <v>45658</v>
      </c>
      <c r="J479" s="26820">
        <v>46022</v>
      </c>
      <c r="K479" s="26910">
        <v>0</v>
      </c>
      <c r="L479" s="23206" t="s">
        <v>381</v>
      </c>
      <c r="M479" s="26827"/>
      <c r="N479" s="26828"/>
      <c r="O479" s="23339"/>
      <c r="P479" s="23339"/>
      <c r="Q479" s="22944"/>
      <c r="R479" s="22944"/>
      <c r="S479" s="22944"/>
      <c r="T479" s="22944"/>
      <c r="U479" s="22944"/>
      <c r="V479" s="22944"/>
      <c r="W479" s="22944"/>
      <c r="X479" s="22944"/>
      <c r="Y479" s="22944"/>
      <c r="Z479" s="22944"/>
      <c r="AA479" s="22944"/>
      <c r="AB479" s="22944"/>
      <c r="AC479" s="22944"/>
      <c r="AD479" s="22944"/>
      <c r="AE479" s="22944"/>
      <c r="AF479" s="22944"/>
      <c r="AG479" s="22944"/>
      <c r="AH479" s="22944">
        <v>0</v>
      </c>
    </row>
    <row s="62286" customFormat="1" customHeight="1" ht="56.25">
      <c r="A480" s="23333"/>
      <c r="B480" s="23333"/>
      <c r="C480" s="26822"/>
      <c r="D480" s="26823"/>
      <c r="E480" s="26824"/>
      <c r="F480" s="26824"/>
      <c r="G480" s="26824"/>
      <c r="H480" s="23204" t="s">
        <v>104</v>
      </c>
      <c r="I480" s="26819">
        <v>46023</v>
      </c>
      <c r="J480" s="26820">
        <v>46387</v>
      </c>
      <c r="K480" s="26910">
        <v>0</v>
      </c>
      <c r="L480" s="23206" t="s">
        <v>381</v>
      </c>
      <c r="M480" s="26827"/>
      <c r="N480" s="26828"/>
      <c r="O480" s="23339"/>
      <c r="P480" s="23339"/>
      <c r="Q480" s="22944"/>
      <c r="R480" s="22944"/>
      <c r="S480" s="22944"/>
      <c r="T480" s="22944"/>
      <c r="U480" s="22944"/>
      <c r="V480" s="22944"/>
      <c r="W480" s="22944"/>
      <c r="X480" s="22944"/>
      <c r="Y480" s="22944"/>
      <c r="Z480" s="22944"/>
      <c r="AA480" s="22944"/>
      <c r="AB480" s="22944"/>
      <c r="AC480" s="22944"/>
      <c r="AD480" s="22944"/>
      <c r="AE480" s="22944"/>
      <c r="AF480" s="22944"/>
      <c r="AG480" s="22944"/>
      <c r="AH480" s="22944">
        <v>0</v>
      </c>
    </row>
    <row s="62286" customFormat="1" customHeight="1" ht="56.25">
      <c r="A481" s="23333"/>
      <c r="B481" s="23333"/>
      <c r="C481" s="26822"/>
      <c r="D481" s="26823"/>
      <c r="E481" s="26824"/>
      <c r="F481" s="26824"/>
      <c r="G481" s="26824"/>
      <c r="H481" s="23204" t="s">
        <v>104</v>
      </c>
      <c r="I481" s="26819">
        <v>46388</v>
      </c>
      <c r="J481" s="26820">
        <v>46752</v>
      </c>
      <c r="K481" s="26910">
        <v>0</v>
      </c>
      <c r="L481" s="23206" t="s">
        <v>381</v>
      </c>
      <c r="M481" s="26827"/>
      <c r="N481" s="26828"/>
      <c r="O481" s="23339"/>
      <c r="P481" s="23339"/>
      <c r="Q481" s="22944"/>
      <c r="R481" s="22944"/>
      <c r="S481" s="22944"/>
      <c r="T481" s="22944"/>
      <c r="U481" s="22944"/>
      <c r="V481" s="22944"/>
      <c r="W481" s="22944"/>
      <c r="X481" s="22944"/>
      <c r="Y481" s="22944"/>
      <c r="Z481" s="22944"/>
      <c r="AA481" s="22944"/>
      <c r="AB481" s="22944"/>
      <c r="AC481" s="22944"/>
      <c r="AD481" s="22944"/>
      <c r="AE481" s="22944"/>
      <c r="AF481" s="22944"/>
      <c r="AG481" s="22944"/>
      <c r="AH481" s="22944">
        <v>0</v>
      </c>
    </row>
    <row s="62286" customFormat="1" customHeight="1" ht="56.25">
      <c r="A482" s="23333"/>
      <c r="B482" s="23333"/>
      <c r="C482" s="26822"/>
      <c r="D482" s="26823"/>
      <c r="E482" s="26824"/>
      <c r="F482" s="26824"/>
      <c r="G482" s="26824"/>
      <c r="H482" s="23204" t="s">
        <v>104</v>
      </c>
      <c r="I482" s="26819">
        <v>46753</v>
      </c>
      <c r="J482" s="26820">
        <v>47118</v>
      </c>
      <c r="K482" s="26910">
        <v>0</v>
      </c>
      <c r="L482" s="23206" t="s">
        <v>381</v>
      </c>
      <c r="M482" s="26827"/>
      <c r="N482" s="26828"/>
      <c r="O482" s="23339"/>
      <c r="P482" s="23339"/>
      <c r="Q482" s="22944"/>
      <c r="R482" s="22944"/>
      <c r="S482" s="22944"/>
      <c r="T482" s="22944"/>
      <c r="U482" s="22944"/>
      <c r="V482" s="22944"/>
      <c r="W482" s="22944"/>
      <c r="X482" s="22944"/>
      <c r="Y482" s="22944"/>
      <c r="Z482" s="22944"/>
      <c r="AA482" s="22944"/>
      <c r="AB482" s="22944"/>
      <c r="AC482" s="22944"/>
      <c r="AD482" s="22944"/>
      <c r="AE482" s="22944"/>
      <c r="AF482" s="22944"/>
      <c r="AG482" s="22944"/>
      <c r="AH482" s="22944">
        <v>0</v>
      </c>
    </row>
    <row s="62286" customFormat="1" customHeight="1" ht="18.75">
      <c r="A483" s="2472"/>
      <c r="B483" s="2472"/>
      <c r="C483" s="1061" t="s">
        <v>1219</v>
      </c>
      <c r="D483" s="3154"/>
      <c r="E483" s="2896"/>
      <c r="F483" s="3075"/>
      <c r="G483" s="3119"/>
      <c r="H483" s="2192"/>
      <c r="I483" s="1343" t="s">
        <v>1218</v>
      </c>
      <c r="J483" s="1263"/>
      <c r="K483" s="2192"/>
      <c r="L483" s="906"/>
      <c r="M483" s="2862"/>
      <c r="N483" s="1026"/>
      <c r="O483" s="2316"/>
      <c r="P483" s="2316"/>
      <c r="AH483" s="2323">
        <v>0</v>
      </c>
    </row>
    <row s="62286" customFormat="1" customHeight="1" ht="18.75">
      <c r="A484" s="23333" t="s">
        <v>166</v>
      </c>
      <c r="B484" s="23333" t="s">
        <v>176</v>
      </c>
      <c r="C484" s="26822"/>
      <c r="D484" s="26823"/>
      <c r="E484" s="26824"/>
      <c r="F484" s="26824"/>
      <c r="G484" s="26825" t="str">
        <f>INDEX(PT_DIFFERENTIATION_NTAR,MATCH(B484,PT_DIFFERENTIATION_NTAR_ID,0))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484" s="23206"/>
      <c r="I484" s="26819">
        <v>45292</v>
      </c>
      <c r="J484" s="26820">
        <v>45657</v>
      </c>
      <c r="K484" s="26910">
        <v>0</v>
      </c>
      <c r="L484" s="23206" t="s">
        <v>381</v>
      </c>
      <c r="M484" s="26827"/>
      <c r="N484" s="26828"/>
      <c r="O484" s="23339"/>
      <c r="P484" s="23339"/>
      <c r="Q484" s="22944"/>
      <c r="R484" s="22944"/>
      <c r="S484" s="22944"/>
      <c r="T484" s="22944"/>
      <c r="U484" s="22944"/>
      <c r="V484" s="22944"/>
      <c r="W484" s="22944"/>
      <c r="X484" s="22944"/>
      <c r="Y484" s="22944"/>
      <c r="Z484" s="22944"/>
      <c r="AA484" s="22944"/>
      <c r="AB484" s="22944"/>
      <c r="AC484" s="22944"/>
      <c r="AD484" s="22944"/>
      <c r="AE484" s="22944"/>
      <c r="AF484" s="22944"/>
      <c r="AG484" s="22944"/>
      <c r="AH484" s="22944">
        <v>0</v>
      </c>
    </row>
    <row s="62286" customFormat="1" customHeight="1" ht="56.25">
      <c r="A485" s="23333"/>
      <c r="B485" s="23333"/>
      <c r="C485" s="26822"/>
      <c r="D485" s="26823"/>
      <c r="E485" s="26824"/>
      <c r="F485" s="26824"/>
      <c r="G485" s="26824"/>
      <c r="H485" s="23204" t="s">
        <v>104</v>
      </c>
      <c r="I485" s="26819">
        <v>45658</v>
      </c>
      <c r="J485" s="26820">
        <v>46022</v>
      </c>
      <c r="K485" s="26910">
        <v>0</v>
      </c>
      <c r="L485" s="23206" t="s">
        <v>381</v>
      </c>
      <c r="M485" s="26827"/>
      <c r="N485" s="26828"/>
      <c r="O485" s="23339"/>
      <c r="P485" s="23339"/>
      <c r="Q485" s="22944"/>
      <c r="R485" s="22944"/>
      <c r="S485" s="22944"/>
      <c r="T485" s="22944"/>
      <c r="U485" s="22944"/>
      <c r="V485" s="22944"/>
      <c r="W485" s="22944"/>
      <c r="X485" s="22944"/>
      <c r="Y485" s="22944"/>
      <c r="Z485" s="22944"/>
      <c r="AA485" s="22944"/>
      <c r="AB485" s="22944"/>
      <c r="AC485" s="22944"/>
      <c r="AD485" s="22944"/>
      <c r="AE485" s="22944"/>
      <c r="AF485" s="22944"/>
      <c r="AG485" s="22944"/>
      <c r="AH485" s="22944">
        <v>0</v>
      </c>
    </row>
    <row s="62286" customFormat="1" customHeight="1" ht="56.25">
      <c r="A486" s="23333"/>
      <c r="B486" s="23333"/>
      <c r="C486" s="26822"/>
      <c r="D486" s="26823"/>
      <c r="E486" s="26824"/>
      <c r="F486" s="26824"/>
      <c r="G486" s="26824"/>
      <c r="H486" s="23204" t="s">
        <v>104</v>
      </c>
      <c r="I486" s="26819">
        <v>46023</v>
      </c>
      <c r="J486" s="26820">
        <v>46387</v>
      </c>
      <c r="K486" s="26910">
        <v>0</v>
      </c>
      <c r="L486" s="23206" t="s">
        <v>381</v>
      </c>
      <c r="M486" s="26827"/>
      <c r="N486" s="26828"/>
      <c r="O486" s="23339"/>
      <c r="P486" s="23339"/>
      <c r="Q486" s="22944"/>
      <c r="R486" s="22944"/>
      <c r="S486" s="22944"/>
      <c r="T486" s="22944"/>
      <c r="U486" s="22944"/>
      <c r="V486" s="22944"/>
      <c r="W486" s="22944"/>
      <c r="X486" s="22944"/>
      <c r="Y486" s="22944"/>
      <c r="Z486" s="22944"/>
      <c r="AA486" s="22944"/>
      <c r="AB486" s="22944"/>
      <c r="AC486" s="22944"/>
      <c r="AD486" s="22944"/>
      <c r="AE486" s="22944"/>
      <c r="AF486" s="22944"/>
      <c r="AG486" s="22944"/>
      <c r="AH486" s="22944">
        <v>0</v>
      </c>
    </row>
    <row s="62286" customFormat="1" customHeight="1" ht="56.25">
      <c r="A487" s="23333"/>
      <c r="B487" s="23333"/>
      <c r="C487" s="26822"/>
      <c r="D487" s="26823"/>
      <c r="E487" s="26824"/>
      <c r="F487" s="26824"/>
      <c r="G487" s="26824"/>
      <c r="H487" s="23204" t="s">
        <v>104</v>
      </c>
      <c r="I487" s="26819">
        <v>46388</v>
      </c>
      <c r="J487" s="26820">
        <v>46752</v>
      </c>
      <c r="K487" s="26910">
        <v>0</v>
      </c>
      <c r="L487" s="23206" t="s">
        <v>381</v>
      </c>
      <c r="M487" s="26827"/>
      <c r="N487" s="26828"/>
      <c r="O487" s="23339"/>
      <c r="P487" s="23339"/>
      <c r="Q487" s="22944"/>
      <c r="R487" s="22944"/>
      <c r="S487" s="22944"/>
      <c r="T487" s="22944"/>
      <c r="U487" s="22944"/>
      <c r="V487" s="22944"/>
      <c r="W487" s="22944"/>
      <c r="X487" s="22944"/>
      <c r="Y487" s="22944"/>
      <c r="Z487" s="22944"/>
      <c r="AA487" s="22944"/>
      <c r="AB487" s="22944"/>
      <c r="AC487" s="22944"/>
      <c r="AD487" s="22944"/>
      <c r="AE487" s="22944"/>
      <c r="AF487" s="22944"/>
      <c r="AG487" s="22944"/>
      <c r="AH487" s="22944">
        <v>0</v>
      </c>
    </row>
    <row s="62286" customFormat="1" customHeight="1" ht="56.25">
      <c r="A488" s="23333"/>
      <c r="B488" s="23333"/>
      <c r="C488" s="26822"/>
      <c r="D488" s="26823"/>
      <c r="E488" s="26824"/>
      <c r="F488" s="26824"/>
      <c r="G488" s="26824"/>
      <c r="H488" s="23204" t="s">
        <v>104</v>
      </c>
      <c r="I488" s="26819">
        <v>46753</v>
      </c>
      <c r="J488" s="26820">
        <v>47118</v>
      </c>
      <c r="K488" s="26910">
        <v>0</v>
      </c>
      <c r="L488" s="23206" t="s">
        <v>381</v>
      </c>
      <c r="M488" s="26827"/>
      <c r="N488" s="26828"/>
      <c r="O488" s="23339"/>
      <c r="P488" s="23339"/>
      <c r="Q488" s="22944"/>
      <c r="R488" s="22944"/>
      <c r="S488" s="22944"/>
      <c r="T488" s="22944"/>
      <c r="U488" s="22944"/>
      <c r="V488" s="22944"/>
      <c r="W488" s="22944"/>
      <c r="X488" s="22944"/>
      <c r="Y488" s="22944"/>
      <c r="Z488" s="22944"/>
      <c r="AA488" s="22944"/>
      <c r="AB488" s="22944"/>
      <c r="AC488" s="22944"/>
      <c r="AD488" s="22944"/>
      <c r="AE488" s="22944"/>
      <c r="AF488" s="22944"/>
      <c r="AG488" s="22944"/>
      <c r="AH488" s="22944">
        <v>0</v>
      </c>
    </row>
    <row s="62286" customFormat="1" customHeight="1" ht="18.75">
      <c r="A489" s="23333"/>
      <c r="B489" s="23333"/>
      <c r="C489" s="26822" t="s">
        <v>1219</v>
      </c>
      <c r="D489" s="26823"/>
      <c r="E489" s="26824"/>
      <c r="F489" s="26824"/>
      <c r="G489" s="26825"/>
      <c r="H489" s="27080"/>
      <c r="I489" s="27081" t="s">
        <v>1218</v>
      </c>
      <c r="J489" s="27082"/>
      <c r="K489" s="27083"/>
      <c r="L489" s="27084"/>
      <c r="M489" s="26827"/>
      <c r="N489" s="26828"/>
      <c r="O489" s="23339"/>
      <c r="P489" s="23339"/>
      <c r="Q489" s="22944"/>
      <c r="R489" s="22944"/>
      <c r="S489" s="22944"/>
      <c r="T489" s="22944"/>
      <c r="U489" s="22944"/>
      <c r="V489" s="22944"/>
      <c r="W489" s="22944"/>
      <c r="X489" s="22944"/>
      <c r="Y489" s="22944"/>
      <c r="Z489" s="22944"/>
      <c r="AA489" s="22944"/>
      <c r="AB489" s="22944"/>
      <c r="AC489" s="22944"/>
      <c r="AD489" s="22944"/>
      <c r="AE489" s="22944"/>
      <c r="AF489" s="22944"/>
      <c r="AG489" s="22944"/>
      <c r="AH489" s="22944">
        <v>0</v>
      </c>
    </row>
    <row s="62286" customFormat="1" customHeight="1" ht="18.75">
      <c r="A490" s="23333" t="s">
        <v>166</v>
      </c>
      <c r="B490" s="23333" t="s">
        <v>182</v>
      </c>
      <c r="C490" s="26822"/>
      <c r="D490" s="26823"/>
      <c r="E490" s="26824"/>
      <c r="F490" s="26824"/>
      <c r="G490" s="26825" t="str">
        <f>INDEX(PT_DIFFERENTIATION_NTAR,MATCH(B490,PT_DIFFERENTIATION_NTAR_ID,0))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490" s="23206"/>
      <c r="I490" s="26819">
        <v>45292</v>
      </c>
      <c r="J490" s="26820">
        <v>45657</v>
      </c>
      <c r="K490" s="26910">
        <v>0</v>
      </c>
      <c r="L490" s="23206" t="s">
        <v>381</v>
      </c>
      <c r="M490" s="26827"/>
      <c r="N490" s="26828"/>
      <c r="O490" s="23339"/>
      <c r="P490" s="23339"/>
      <c r="Q490" s="22944"/>
      <c r="R490" s="22944"/>
      <c r="S490" s="22944"/>
      <c r="T490" s="22944"/>
      <c r="U490" s="22944"/>
      <c r="V490" s="22944"/>
      <c r="W490" s="22944"/>
      <c r="X490" s="22944"/>
      <c r="Y490" s="22944"/>
      <c r="Z490" s="22944"/>
      <c r="AA490" s="22944"/>
      <c r="AB490" s="22944"/>
      <c r="AC490" s="22944"/>
      <c r="AD490" s="22944"/>
      <c r="AE490" s="22944"/>
      <c r="AF490" s="22944"/>
      <c r="AG490" s="22944"/>
      <c r="AH490" s="22944">
        <v>0</v>
      </c>
    </row>
    <row s="62286" customFormat="1" customHeight="1" ht="56.25">
      <c r="A491" s="23333"/>
      <c r="B491" s="23333"/>
      <c r="C491" s="26822"/>
      <c r="D491" s="26823"/>
      <c r="E491" s="26824"/>
      <c r="F491" s="26824"/>
      <c r="G491" s="26824"/>
      <c r="H491" s="23204" t="s">
        <v>104</v>
      </c>
      <c r="I491" s="26819">
        <v>45658</v>
      </c>
      <c r="J491" s="26820">
        <v>46022</v>
      </c>
      <c r="K491" s="26910">
        <v>0</v>
      </c>
      <c r="L491" s="23206" t="s">
        <v>381</v>
      </c>
      <c r="M491" s="26827"/>
      <c r="N491" s="26828"/>
      <c r="O491" s="23339"/>
      <c r="P491" s="23339"/>
      <c r="Q491" s="22944"/>
      <c r="R491" s="22944"/>
      <c r="S491" s="22944"/>
      <c r="T491" s="22944"/>
      <c r="U491" s="22944"/>
      <c r="V491" s="22944"/>
      <c r="W491" s="22944"/>
      <c r="X491" s="22944"/>
      <c r="Y491" s="22944"/>
      <c r="Z491" s="22944"/>
      <c r="AA491" s="22944"/>
      <c r="AB491" s="22944"/>
      <c r="AC491" s="22944"/>
      <c r="AD491" s="22944"/>
      <c r="AE491" s="22944"/>
      <c r="AF491" s="22944"/>
      <c r="AG491" s="22944"/>
      <c r="AH491" s="22944">
        <v>0</v>
      </c>
    </row>
    <row s="62286" customFormat="1" customHeight="1" ht="56.25">
      <c r="A492" s="23333"/>
      <c r="B492" s="23333"/>
      <c r="C492" s="26822"/>
      <c r="D492" s="26823"/>
      <c r="E492" s="26824"/>
      <c r="F492" s="26824"/>
      <c r="G492" s="26824"/>
      <c r="H492" s="23204" t="s">
        <v>104</v>
      </c>
      <c r="I492" s="26819">
        <v>46023</v>
      </c>
      <c r="J492" s="26820">
        <v>46387</v>
      </c>
      <c r="K492" s="26910">
        <v>0</v>
      </c>
      <c r="L492" s="23206" t="s">
        <v>381</v>
      </c>
      <c r="M492" s="26827"/>
      <c r="N492" s="26828"/>
      <c r="O492" s="23339"/>
      <c r="P492" s="23339"/>
      <c r="Q492" s="22944"/>
      <c r="R492" s="22944"/>
      <c r="S492" s="22944"/>
      <c r="T492" s="22944"/>
      <c r="U492" s="22944"/>
      <c r="V492" s="22944"/>
      <c r="W492" s="22944"/>
      <c r="X492" s="22944"/>
      <c r="Y492" s="22944"/>
      <c r="Z492" s="22944"/>
      <c r="AA492" s="22944"/>
      <c r="AB492" s="22944"/>
      <c r="AC492" s="22944"/>
      <c r="AD492" s="22944"/>
      <c r="AE492" s="22944"/>
      <c r="AF492" s="22944"/>
      <c r="AG492" s="22944"/>
      <c r="AH492" s="22944">
        <v>0</v>
      </c>
    </row>
    <row s="62286" customFormat="1" customHeight="1" ht="56.25">
      <c r="A493" s="23333"/>
      <c r="B493" s="23333"/>
      <c r="C493" s="26822"/>
      <c r="D493" s="26823"/>
      <c r="E493" s="26824"/>
      <c r="F493" s="26824"/>
      <c r="G493" s="26824"/>
      <c r="H493" s="23204" t="s">
        <v>104</v>
      </c>
      <c r="I493" s="26819">
        <v>46388</v>
      </c>
      <c r="J493" s="26820">
        <v>46752</v>
      </c>
      <c r="K493" s="26910">
        <v>0</v>
      </c>
      <c r="L493" s="23206" t="s">
        <v>381</v>
      </c>
      <c r="M493" s="26827"/>
      <c r="N493" s="26828"/>
      <c r="O493" s="23339"/>
      <c r="P493" s="23339"/>
      <c r="Q493" s="22944"/>
      <c r="R493" s="22944"/>
      <c r="S493" s="22944"/>
      <c r="T493" s="22944"/>
      <c r="U493" s="22944"/>
      <c r="V493" s="22944"/>
      <c r="W493" s="22944"/>
      <c r="X493" s="22944"/>
      <c r="Y493" s="22944"/>
      <c r="Z493" s="22944"/>
      <c r="AA493" s="22944"/>
      <c r="AB493" s="22944"/>
      <c r="AC493" s="22944"/>
      <c r="AD493" s="22944"/>
      <c r="AE493" s="22944"/>
      <c r="AF493" s="22944"/>
      <c r="AG493" s="22944"/>
      <c r="AH493" s="22944">
        <v>0</v>
      </c>
    </row>
    <row s="62286" customFormat="1" customHeight="1" ht="56.25">
      <c r="A494" s="23333"/>
      <c r="B494" s="23333"/>
      <c r="C494" s="26822"/>
      <c r="D494" s="26823"/>
      <c r="E494" s="26824"/>
      <c r="F494" s="26824"/>
      <c r="G494" s="26824"/>
      <c r="H494" s="23204" t="s">
        <v>104</v>
      </c>
      <c r="I494" s="26819">
        <v>46753</v>
      </c>
      <c r="J494" s="26820">
        <v>47118</v>
      </c>
      <c r="K494" s="26910">
        <v>0</v>
      </c>
      <c r="L494" s="23206" t="s">
        <v>381</v>
      </c>
      <c r="M494" s="26827"/>
      <c r="N494" s="26828"/>
      <c r="O494" s="23339"/>
      <c r="P494" s="23339"/>
      <c r="Q494" s="22944"/>
      <c r="R494" s="22944"/>
      <c r="S494" s="22944"/>
      <c r="T494" s="22944"/>
      <c r="U494" s="22944"/>
      <c r="V494" s="22944"/>
      <c r="W494" s="22944"/>
      <c r="X494" s="22944"/>
      <c r="Y494" s="22944"/>
      <c r="Z494" s="22944"/>
      <c r="AA494" s="22944"/>
      <c r="AB494" s="22944"/>
      <c r="AC494" s="22944"/>
      <c r="AD494" s="22944"/>
      <c r="AE494" s="22944"/>
      <c r="AF494" s="22944"/>
      <c r="AG494" s="22944"/>
      <c r="AH494" s="22944">
        <v>0</v>
      </c>
    </row>
    <row s="62286" customFormat="1" customHeight="1" ht="18.75">
      <c r="A495" s="23333"/>
      <c r="B495" s="23333"/>
      <c r="C495" s="26822" t="s">
        <v>1219</v>
      </c>
      <c r="D495" s="26823"/>
      <c r="E495" s="26824"/>
      <c r="F495" s="26824"/>
      <c r="G495" s="26825"/>
      <c r="H495" s="27085"/>
      <c r="I495" s="27086" t="s">
        <v>1218</v>
      </c>
      <c r="J495" s="27087"/>
      <c r="K495" s="27088"/>
      <c r="L495" s="27089"/>
      <c r="M495" s="26827"/>
      <c r="N495" s="26828"/>
      <c r="O495" s="23339"/>
      <c r="P495" s="23339"/>
      <c r="Q495" s="22944"/>
      <c r="R495" s="22944"/>
      <c r="S495" s="22944"/>
      <c r="T495" s="22944"/>
      <c r="U495" s="22944"/>
      <c r="V495" s="22944"/>
      <c r="W495" s="22944"/>
      <c r="X495" s="22944"/>
      <c r="Y495" s="22944"/>
      <c r="Z495" s="22944"/>
      <c r="AA495" s="22944"/>
      <c r="AB495" s="22944"/>
      <c r="AC495" s="22944"/>
      <c r="AD495" s="22944"/>
      <c r="AE495" s="22944"/>
      <c r="AF495" s="22944"/>
      <c r="AG495" s="22944"/>
      <c r="AH495" s="22944">
        <v>0</v>
      </c>
    </row>
    <row s="62286" customFormat="1" customHeight="1" ht="0.75">
      <c r="A496" s="2472"/>
      <c r="B496" s="2472"/>
      <c r="C496" s="1061" t="s">
        <v>1228</v>
      </c>
      <c r="D496" s="3154"/>
      <c r="E496" s="2896"/>
      <c r="F496" s="3075"/>
      <c r="G496" s="1092"/>
      <c r="H496" s="2192"/>
      <c r="I496" s="1343"/>
      <c r="J496" s="1263"/>
      <c r="K496" s="2192"/>
      <c r="L496" s="906"/>
      <c r="M496" s="2862"/>
      <c r="N496" s="1026"/>
      <c r="O496" s="2316"/>
      <c r="P496" s="2316"/>
      <c r="AH496" s="2323">
        <v>0</v>
      </c>
    </row>
    <row s="62286" customFormat="1" customHeight="1" ht="45">
      <c r="A497" s="2472" t="s">
        <v>190</v>
      </c>
      <c r="B497" s="2472" t="s">
        <v>191</v>
      </c>
      <c r="C497" s="1061"/>
      <c r="D497" s="3154"/>
      <c r="E497" s="2896"/>
      <c r="F497" s="3075" t="str">
        <f>INDEX(PT_DIFFERENTIATION_VTAR,MATCH(A497,PT_DIFFERENTIATION_VTAR_ID,0))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97" s="3119" t="str">
        <f>INDEX(PT_DIFFERENTIATION_NTAR,MATCH(B497,PT_DIFFERENTIATION_NTAR_ID,0))</f>
        <v>Тариф на тепловую энергию, поставляемую потребителям АО "ДГК" на территории Артемовского городского округа Приморского края</v>
      </c>
      <c r="H497" s="2554"/>
      <c r="I497" s="26819">
        <v>45292</v>
      </c>
      <c r="J497" s="2465">
        <v>45657</v>
      </c>
      <c r="K497" s="2470">
        <v>355934.2</v>
      </c>
      <c r="L497" s="2554" t="s">
        <v>381</v>
      </c>
      <c r="M497" s="2863"/>
      <c r="N497" s="1026"/>
      <c r="O497" s="2316"/>
      <c r="P497" s="2316"/>
      <c r="AH497" s="2323">
        <v>0</v>
      </c>
    </row>
    <row s="62286" customFormat="1" customHeight="1" ht="56.25">
      <c r="A498" s="23333"/>
      <c r="B498" s="23333"/>
      <c r="C498" s="26822"/>
      <c r="D498" s="26823"/>
      <c r="E498" s="26824"/>
      <c r="F498" s="26824"/>
      <c r="G498" s="26824"/>
      <c r="H498" s="23204" t="s">
        <v>104</v>
      </c>
      <c r="I498" s="26819">
        <v>45658</v>
      </c>
      <c r="J498" s="26820">
        <v>46022</v>
      </c>
      <c r="K498" s="26910">
        <v>847229.19</v>
      </c>
      <c r="L498" s="23206" t="s">
        <v>381</v>
      </c>
      <c r="M498" s="26827"/>
      <c r="N498" s="26828"/>
      <c r="O498" s="23339"/>
      <c r="P498" s="23339"/>
      <c r="Q498" s="22944"/>
      <c r="R498" s="22944"/>
      <c r="S498" s="22944"/>
      <c r="T498" s="22944"/>
      <c r="U498" s="22944"/>
      <c r="V498" s="22944"/>
      <c r="W498" s="22944"/>
      <c r="X498" s="22944"/>
      <c r="Y498" s="22944"/>
      <c r="Z498" s="22944"/>
      <c r="AA498" s="22944"/>
      <c r="AB498" s="22944"/>
      <c r="AC498" s="22944"/>
      <c r="AD498" s="22944"/>
      <c r="AE498" s="22944"/>
      <c r="AF498" s="22944"/>
      <c r="AG498" s="22944"/>
      <c r="AH498" s="22944">
        <v>0</v>
      </c>
    </row>
    <row s="62286" customFormat="1" customHeight="1" ht="56.25">
      <c r="A499" s="23333"/>
      <c r="B499" s="23333"/>
      <c r="C499" s="26822"/>
      <c r="D499" s="26823"/>
      <c r="E499" s="26824"/>
      <c r="F499" s="26824"/>
      <c r="G499" s="26824"/>
      <c r="H499" s="23204" t="s">
        <v>104</v>
      </c>
      <c r="I499" s="26819">
        <v>46023</v>
      </c>
      <c r="J499" s="26820">
        <v>46387</v>
      </c>
      <c r="K499" s="26910">
        <v>708821.95</v>
      </c>
      <c r="L499" s="23206" t="s">
        <v>381</v>
      </c>
      <c r="M499" s="26827"/>
      <c r="N499" s="26828"/>
      <c r="O499" s="23339"/>
      <c r="P499" s="23339"/>
      <c r="Q499" s="22944"/>
      <c r="R499" s="22944"/>
      <c r="S499" s="22944"/>
      <c r="T499" s="22944"/>
      <c r="U499" s="22944"/>
      <c r="V499" s="22944"/>
      <c r="W499" s="22944"/>
      <c r="X499" s="22944"/>
      <c r="Y499" s="22944"/>
      <c r="Z499" s="22944"/>
      <c r="AA499" s="22944"/>
      <c r="AB499" s="22944"/>
      <c r="AC499" s="22944"/>
      <c r="AD499" s="22944"/>
      <c r="AE499" s="22944"/>
      <c r="AF499" s="22944"/>
      <c r="AG499" s="22944"/>
      <c r="AH499" s="22944">
        <v>0</v>
      </c>
    </row>
    <row s="62286" customFormat="1" customHeight="1" ht="56.25">
      <c r="A500" s="23333"/>
      <c r="B500" s="23333"/>
      <c r="C500" s="26822"/>
      <c r="D500" s="26823"/>
      <c r="E500" s="26824"/>
      <c r="F500" s="26824"/>
      <c r="G500" s="26824"/>
      <c r="H500" s="23204" t="s">
        <v>104</v>
      </c>
      <c r="I500" s="26819">
        <v>46388</v>
      </c>
      <c r="J500" s="26820">
        <v>46752</v>
      </c>
      <c r="K500" s="26910">
        <v>0</v>
      </c>
      <c r="L500" s="23206" t="s">
        <v>381</v>
      </c>
      <c r="M500" s="26827"/>
      <c r="N500" s="26828"/>
      <c r="O500" s="23339"/>
      <c r="P500" s="23339"/>
      <c r="Q500" s="22944"/>
      <c r="R500" s="22944"/>
      <c r="S500" s="22944"/>
      <c r="T500" s="22944"/>
      <c r="U500" s="22944"/>
      <c r="V500" s="22944"/>
      <c r="W500" s="22944"/>
      <c r="X500" s="22944"/>
      <c r="Y500" s="22944"/>
      <c r="Z500" s="22944"/>
      <c r="AA500" s="22944"/>
      <c r="AB500" s="22944"/>
      <c r="AC500" s="22944"/>
      <c r="AD500" s="22944"/>
      <c r="AE500" s="22944"/>
      <c r="AF500" s="22944"/>
      <c r="AG500" s="22944"/>
      <c r="AH500" s="22944">
        <v>0</v>
      </c>
    </row>
    <row s="62286" customFormat="1" customHeight="1" ht="56.25">
      <c r="A501" s="23333"/>
      <c r="B501" s="23333"/>
      <c r="C501" s="26822"/>
      <c r="D501" s="26823"/>
      <c r="E501" s="26824"/>
      <c r="F501" s="26824"/>
      <c r="G501" s="26824"/>
      <c r="H501" s="23204" t="s">
        <v>104</v>
      </c>
      <c r="I501" s="26819">
        <v>46753</v>
      </c>
      <c r="J501" s="26820">
        <v>47118</v>
      </c>
      <c r="K501" s="26910">
        <v>0</v>
      </c>
      <c r="L501" s="23206" t="s">
        <v>381</v>
      </c>
      <c r="M501" s="26827"/>
      <c r="N501" s="26828"/>
      <c r="O501" s="23339"/>
      <c r="P501" s="23339"/>
      <c r="Q501" s="22944"/>
      <c r="R501" s="22944"/>
      <c r="S501" s="22944"/>
      <c r="T501" s="22944"/>
      <c r="U501" s="22944"/>
      <c r="V501" s="22944"/>
      <c r="W501" s="22944"/>
      <c r="X501" s="22944"/>
      <c r="Y501" s="22944"/>
      <c r="Z501" s="22944"/>
      <c r="AA501" s="22944"/>
      <c r="AB501" s="22944"/>
      <c r="AC501" s="22944"/>
      <c r="AD501" s="22944"/>
      <c r="AE501" s="22944"/>
      <c r="AF501" s="22944"/>
      <c r="AG501" s="22944"/>
      <c r="AH501" s="22944">
        <v>0</v>
      </c>
    </row>
    <row s="62286" customFormat="1" customHeight="1" ht="18.75">
      <c r="A502" s="2472"/>
      <c r="B502" s="2472"/>
      <c r="C502" s="1061" t="s">
        <v>1219</v>
      </c>
      <c r="D502" s="3154"/>
      <c r="E502" s="2896"/>
      <c r="F502" s="3075"/>
      <c r="G502" s="3119"/>
      <c r="H502" s="2192"/>
      <c r="I502" s="1343" t="s">
        <v>1218</v>
      </c>
      <c r="J502" s="1263"/>
      <c r="K502" s="2192"/>
      <c r="L502" s="906"/>
      <c r="M502" s="2553"/>
      <c r="N502" s="1026"/>
      <c r="O502" s="2316"/>
      <c r="P502" s="2316"/>
      <c r="AH502" s="2323">
        <v>0</v>
      </c>
    </row>
    <row s="62286" customFormat="1" customHeight="1" ht="18.75">
      <c r="A503" s="23333" t="s">
        <v>190</v>
      </c>
      <c r="B503" s="23333" t="s">
        <v>196</v>
      </c>
      <c r="C503" s="26822"/>
      <c r="D503" s="26823"/>
      <c r="E503" s="26824"/>
      <c r="F503" s="26824"/>
      <c r="G503" s="26825" t="str">
        <f>INDEX(PT_DIFFERENTIATION_NTAR,MATCH(B503,PT_DIFFERENTIATION_NTAR_ID,0))</f>
        <v>Тариф на тепловую энергию, поставляемую потребителям АО "ДГК" на территории Владивостокского городского округа Приморского края</v>
      </c>
      <c r="H503" s="23206"/>
      <c r="I503" s="26819">
        <v>45292</v>
      </c>
      <c r="J503" s="26820">
        <v>45657</v>
      </c>
      <c r="K503" s="26910">
        <v>1721519.67</v>
      </c>
      <c r="L503" s="23206" t="s">
        <v>381</v>
      </c>
      <c r="M503" s="26827"/>
      <c r="N503" s="26828"/>
      <c r="O503" s="23339"/>
      <c r="P503" s="23339"/>
      <c r="Q503" s="22944"/>
      <c r="R503" s="22944"/>
      <c r="S503" s="22944"/>
      <c r="T503" s="22944"/>
      <c r="U503" s="22944"/>
      <c r="V503" s="22944"/>
      <c r="W503" s="22944"/>
      <c r="X503" s="22944"/>
      <c r="Y503" s="22944"/>
      <c r="Z503" s="22944"/>
      <c r="AA503" s="22944"/>
      <c r="AB503" s="22944"/>
      <c r="AC503" s="22944"/>
      <c r="AD503" s="22944"/>
      <c r="AE503" s="22944"/>
      <c r="AF503" s="22944"/>
      <c r="AG503" s="22944"/>
      <c r="AH503" s="22944">
        <v>0</v>
      </c>
    </row>
    <row s="62286" customFormat="1" customHeight="1" ht="56.25">
      <c r="A504" s="23333"/>
      <c r="B504" s="23333"/>
      <c r="C504" s="26822"/>
      <c r="D504" s="26823"/>
      <c r="E504" s="26824"/>
      <c r="F504" s="26824"/>
      <c r="G504" s="26824"/>
      <c r="H504" s="23204" t="s">
        <v>104</v>
      </c>
      <c r="I504" s="26819">
        <v>45658</v>
      </c>
      <c r="J504" s="26820">
        <v>46022</v>
      </c>
      <c r="K504" s="26910">
        <v>3971413.33</v>
      </c>
      <c r="L504" s="23206" t="s">
        <v>381</v>
      </c>
      <c r="M504" s="26827"/>
      <c r="N504" s="26828"/>
      <c r="O504" s="23339"/>
      <c r="P504" s="23339"/>
      <c r="Q504" s="22944"/>
      <c r="R504" s="22944"/>
      <c r="S504" s="22944"/>
      <c r="T504" s="22944"/>
      <c r="U504" s="22944"/>
      <c r="V504" s="22944"/>
      <c r="W504" s="22944"/>
      <c r="X504" s="22944"/>
      <c r="Y504" s="22944"/>
      <c r="Z504" s="22944"/>
      <c r="AA504" s="22944"/>
      <c r="AB504" s="22944"/>
      <c r="AC504" s="22944"/>
      <c r="AD504" s="22944"/>
      <c r="AE504" s="22944"/>
      <c r="AF504" s="22944"/>
      <c r="AG504" s="22944"/>
      <c r="AH504" s="22944">
        <v>0</v>
      </c>
    </row>
    <row s="62286" customFormat="1" customHeight="1" ht="56.25">
      <c r="A505" s="23333"/>
      <c r="B505" s="23333"/>
      <c r="C505" s="26822"/>
      <c r="D505" s="26823"/>
      <c r="E505" s="26824"/>
      <c r="F505" s="26824"/>
      <c r="G505" s="26824"/>
      <c r="H505" s="23204" t="s">
        <v>104</v>
      </c>
      <c r="I505" s="26819">
        <v>46023</v>
      </c>
      <c r="J505" s="26820">
        <v>46387</v>
      </c>
      <c r="K505" s="26910">
        <f>4611081.2+956844.71</f>
        <v>5567925.91</v>
      </c>
      <c r="L505" s="23206" t="s">
        <v>381</v>
      </c>
      <c r="M505" s="26827"/>
      <c r="N505" s="26828"/>
      <c r="O505" s="23339"/>
      <c r="P505" s="23339"/>
      <c r="Q505" s="22944"/>
      <c r="R505" s="22944"/>
      <c r="S505" s="22944"/>
      <c r="T505" s="22944"/>
      <c r="U505" s="22944"/>
      <c r="V505" s="22944"/>
      <c r="W505" s="22944"/>
      <c r="X505" s="22944"/>
      <c r="Y505" s="22944"/>
      <c r="Z505" s="22944"/>
      <c r="AA505" s="22944"/>
      <c r="AB505" s="22944"/>
      <c r="AC505" s="22944"/>
      <c r="AD505" s="22944"/>
      <c r="AE505" s="22944"/>
      <c r="AF505" s="22944"/>
      <c r="AG505" s="22944"/>
      <c r="AH505" s="22944">
        <v>0</v>
      </c>
    </row>
    <row s="62286" customFormat="1" customHeight="1" ht="56.25">
      <c r="A506" s="23333"/>
      <c r="B506" s="23333"/>
      <c r="C506" s="26822"/>
      <c r="D506" s="26823"/>
      <c r="E506" s="26824"/>
      <c r="F506" s="26824"/>
      <c r="G506" s="26824"/>
      <c r="H506" s="23204" t="s">
        <v>104</v>
      </c>
      <c r="I506" s="26819">
        <v>46388</v>
      </c>
      <c r="J506" s="26820">
        <v>46752</v>
      </c>
      <c r="K506" s="26910">
        <v>0</v>
      </c>
      <c r="L506" s="23206" t="s">
        <v>381</v>
      </c>
      <c r="M506" s="26827"/>
      <c r="N506" s="26828"/>
      <c r="O506" s="23339"/>
      <c r="P506" s="23339"/>
      <c r="Q506" s="22944"/>
      <c r="R506" s="22944"/>
      <c r="S506" s="22944"/>
      <c r="T506" s="22944"/>
      <c r="U506" s="22944"/>
      <c r="V506" s="22944"/>
      <c r="W506" s="22944"/>
      <c r="X506" s="22944"/>
      <c r="Y506" s="22944"/>
      <c r="Z506" s="22944"/>
      <c r="AA506" s="22944"/>
      <c r="AB506" s="22944"/>
      <c r="AC506" s="22944"/>
      <c r="AD506" s="22944"/>
      <c r="AE506" s="22944"/>
      <c r="AF506" s="22944"/>
      <c r="AG506" s="22944"/>
      <c r="AH506" s="22944">
        <v>0</v>
      </c>
    </row>
    <row s="62286" customFormat="1" customHeight="1" ht="56.25">
      <c r="A507" s="23333"/>
      <c r="B507" s="23333"/>
      <c r="C507" s="26822"/>
      <c r="D507" s="26823"/>
      <c r="E507" s="26824"/>
      <c r="F507" s="26824"/>
      <c r="G507" s="26824"/>
      <c r="H507" s="23204" t="s">
        <v>104</v>
      </c>
      <c r="I507" s="26819">
        <v>46753</v>
      </c>
      <c r="J507" s="26820">
        <v>47118</v>
      </c>
      <c r="K507" s="26910">
        <v>0</v>
      </c>
      <c r="L507" s="23206" t="s">
        <v>381</v>
      </c>
      <c r="M507" s="26827"/>
      <c r="N507" s="26828"/>
      <c r="O507" s="23339"/>
      <c r="P507" s="23339"/>
      <c r="Q507" s="22944"/>
      <c r="R507" s="22944"/>
      <c r="S507" s="22944"/>
      <c r="T507" s="22944"/>
      <c r="U507" s="22944"/>
      <c r="V507" s="22944"/>
      <c r="W507" s="22944"/>
      <c r="X507" s="22944"/>
      <c r="Y507" s="22944"/>
      <c r="Z507" s="22944"/>
      <c r="AA507" s="22944"/>
      <c r="AB507" s="22944"/>
      <c r="AC507" s="22944"/>
      <c r="AD507" s="22944"/>
      <c r="AE507" s="22944"/>
      <c r="AF507" s="22944"/>
      <c r="AG507" s="22944"/>
      <c r="AH507" s="22944">
        <v>0</v>
      </c>
    </row>
    <row s="62286" customFormat="1" customHeight="1" ht="18.75">
      <c r="A508" s="23333"/>
      <c r="B508" s="23333"/>
      <c r="C508" s="26822" t="s">
        <v>1219</v>
      </c>
      <c r="D508" s="26823"/>
      <c r="E508" s="26824"/>
      <c r="F508" s="26824"/>
      <c r="G508" s="26825"/>
      <c r="H508" s="27090"/>
      <c r="I508" s="27091" t="s">
        <v>1218</v>
      </c>
      <c r="J508" s="27092"/>
      <c r="K508" s="27093"/>
      <c r="L508" s="27094"/>
      <c r="M508" s="26827"/>
      <c r="N508" s="26828"/>
      <c r="O508" s="23339"/>
      <c r="P508" s="23339"/>
      <c r="Q508" s="22944"/>
      <c r="R508" s="22944"/>
      <c r="S508" s="22944"/>
      <c r="T508" s="22944"/>
      <c r="U508" s="22944"/>
      <c r="V508" s="22944"/>
      <c r="W508" s="22944"/>
      <c r="X508" s="22944"/>
      <c r="Y508" s="22944"/>
      <c r="Z508" s="22944"/>
      <c r="AA508" s="22944"/>
      <c r="AB508" s="22944"/>
      <c r="AC508" s="22944"/>
      <c r="AD508" s="22944"/>
      <c r="AE508" s="22944"/>
      <c r="AF508" s="22944"/>
      <c r="AG508" s="22944"/>
      <c r="AH508" s="22944">
        <v>0</v>
      </c>
    </row>
    <row s="62286" customFormat="1" customHeight="1" ht="18.75">
      <c r="A509" s="23333" t="s">
        <v>190</v>
      </c>
      <c r="B509" s="23333" t="s">
        <v>201</v>
      </c>
      <c r="C509" s="26822"/>
      <c r="D509" s="26823"/>
      <c r="E509" s="26824"/>
      <c r="F509" s="26824"/>
      <c r="G509" s="26825" t="str">
        <f>INDEX(PT_DIFFERENTIATION_NTAR,MATCH(B509,PT_DIFFERENTIATION_NTAR_ID,0))</f>
        <v>Тариф на тепловую энергию, поставляемую потребителям АО "ДГК" на территории Партизанского городского округа Приморского края</v>
      </c>
      <c r="H509" s="23206"/>
      <c r="I509" s="26819">
        <v>45292</v>
      </c>
      <c r="J509" s="26820">
        <v>45657</v>
      </c>
      <c r="K509" s="26910">
        <v>152881.51</v>
      </c>
      <c r="L509" s="23206" t="s">
        <v>381</v>
      </c>
      <c r="M509" s="26827"/>
      <c r="N509" s="26828"/>
      <c r="O509" s="23339"/>
      <c r="P509" s="23339"/>
      <c r="Q509" s="22944"/>
      <c r="R509" s="22944"/>
      <c r="S509" s="22944"/>
      <c r="T509" s="22944"/>
      <c r="U509" s="22944"/>
      <c r="V509" s="22944"/>
      <c r="W509" s="22944"/>
      <c r="X509" s="22944"/>
      <c r="Y509" s="22944"/>
      <c r="Z509" s="22944"/>
      <c r="AA509" s="22944"/>
      <c r="AB509" s="22944"/>
      <c r="AC509" s="22944"/>
      <c r="AD509" s="22944"/>
      <c r="AE509" s="22944"/>
      <c r="AF509" s="22944"/>
      <c r="AG509" s="22944"/>
      <c r="AH509" s="22944">
        <v>0</v>
      </c>
    </row>
    <row s="62286" customFormat="1" customHeight="1" ht="56.25">
      <c r="A510" s="23333"/>
      <c r="B510" s="23333"/>
      <c r="C510" s="26822"/>
      <c r="D510" s="26823"/>
      <c r="E510" s="26824"/>
      <c r="F510" s="26824"/>
      <c r="G510" s="26824"/>
      <c r="H510" s="23204" t="s">
        <v>104</v>
      </c>
      <c r="I510" s="26819">
        <v>45658</v>
      </c>
      <c r="J510" s="26820">
        <v>46022</v>
      </c>
      <c r="K510" s="26910">
        <v>548529.12</v>
      </c>
      <c r="L510" s="23206" t="s">
        <v>381</v>
      </c>
      <c r="M510" s="26827"/>
      <c r="N510" s="26828"/>
      <c r="O510" s="23339"/>
      <c r="P510" s="23339"/>
      <c r="Q510" s="22944"/>
      <c r="R510" s="22944"/>
      <c r="S510" s="22944"/>
      <c r="T510" s="22944"/>
      <c r="U510" s="22944"/>
      <c r="V510" s="22944"/>
      <c r="W510" s="22944"/>
      <c r="X510" s="22944"/>
      <c r="Y510" s="22944"/>
      <c r="Z510" s="22944"/>
      <c r="AA510" s="22944"/>
      <c r="AB510" s="22944"/>
      <c r="AC510" s="22944"/>
      <c r="AD510" s="22944"/>
      <c r="AE510" s="22944"/>
      <c r="AF510" s="22944"/>
      <c r="AG510" s="22944"/>
      <c r="AH510" s="22944">
        <v>0</v>
      </c>
    </row>
    <row s="62286" customFormat="1" customHeight="1" ht="56.25">
      <c r="A511" s="23333"/>
      <c r="B511" s="23333"/>
      <c r="C511" s="26822"/>
      <c r="D511" s="26823"/>
      <c r="E511" s="26824"/>
      <c r="F511" s="26824"/>
      <c r="G511" s="26824"/>
      <c r="H511" s="23204" t="s">
        <v>104</v>
      </c>
      <c r="I511" s="26819">
        <v>46023</v>
      </c>
      <c r="J511" s="26820">
        <v>46387</v>
      </c>
      <c r="K511" s="26910">
        <v>401645.39</v>
      </c>
      <c r="L511" s="23206" t="s">
        <v>381</v>
      </c>
      <c r="M511" s="26827"/>
      <c r="N511" s="26828"/>
      <c r="O511" s="23339"/>
      <c r="P511" s="23339"/>
      <c r="Q511" s="22944"/>
      <c r="R511" s="22944"/>
      <c r="S511" s="22944"/>
      <c r="T511" s="22944"/>
      <c r="U511" s="22944"/>
      <c r="V511" s="22944"/>
      <c r="W511" s="22944"/>
      <c r="X511" s="22944"/>
      <c r="Y511" s="22944"/>
      <c r="Z511" s="22944"/>
      <c r="AA511" s="22944"/>
      <c r="AB511" s="22944"/>
      <c r="AC511" s="22944"/>
      <c r="AD511" s="22944"/>
      <c r="AE511" s="22944"/>
      <c r="AF511" s="22944"/>
      <c r="AG511" s="22944"/>
      <c r="AH511" s="22944">
        <v>0</v>
      </c>
    </row>
    <row s="62286" customFormat="1" customHeight="1" ht="56.25">
      <c r="A512" s="23333"/>
      <c r="B512" s="23333"/>
      <c r="C512" s="26822"/>
      <c r="D512" s="26823"/>
      <c r="E512" s="26824"/>
      <c r="F512" s="26824"/>
      <c r="G512" s="26824"/>
      <c r="H512" s="23204" t="s">
        <v>104</v>
      </c>
      <c r="I512" s="26819">
        <v>46388</v>
      </c>
      <c r="J512" s="26820">
        <v>46752</v>
      </c>
      <c r="K512" s="26910">
        <v>0</v>
      </c>
      <c r="L512" s="23206" t="s">
        <v>381</v>
      </c>
      <c r="M512" s="26827"/>
      <c r="N512" s="26828"/>
      <c r="O512" s="23339"/>
      <c r="P512" s="23339"/>
      <c r="Q512" s="22944"/>
      <c r="R512" s="22944"/>
      <c r="S512" s="22944"/>
      <c r="T512" s="22944"/>
      <c r="U512" s="22944"/>
      <c r="V512" s="22944"/>
      <c r="W512" s="22944"/>
      <c r="X512" s="22944"/>
      <c r="Y512" s="22944"/>
      <c r="Z512" s="22944"/>
      <c r="AA512" s="22944"/>
      <c r="AB512" s="22944"/>
      <c r="AC512" s="22944"/>
      <c r="AD512" s="22944"/>
      <c r="AE512" s="22944"/>
      <c r="AF512" s="22944"/>
      <c r="AG512" s="22944"/>
      <c r="AH512" s="22944">
        <v>0</v>
      </c>
    </row>
    <row s="62286" customFormat="1" customHeight="1" ht="56.25">
      <c r="A513" s="23333"/>
      <c r="B513" s="23333"/>
      <c r="C513" s="26822"/>
      <c r="D513" s="26823"/>
      <c r="E513" s="26824"/>
      <c r="F513" s="26824"/>
      <c r="G513" s="26824"/>
      <c r="H513" s="23204" t="s">
        <v>104</v>
      </c>
      <c r="I513" s="26819">
        <v>46753</v>
      </c>
      <c r="J513" s="26820">
        <v>47118</v>
      </c>
      <c r="K513" s="26910">
        <v>0</v>
      </c>
      <c r="L513" s="23206" t="s">
        <v>381</v>
      </c>
      <c r="M513" s="26827"/>
      <c r="N513" s="26828"/>
      <c r="O513" s="23339"/>
      <c r="P513" s="23339"/>
      <c r="Q513" s="22944"/>
      <c r="R513" s="22944"/>
      <c r="S513" s="22944"/>
      <c r="T513" s="22944"/>
      <c r="U513" s="22944"/>
      <c r="V513" s="22944"/>
      <c r="W513" s="22944"/>
      <c r="X513" s="22944"/>
      <c r="Y513" s="22944"/>
      <c r="Z513" s="22944"/>
      <c r="AA513" s="22944"/>
      <c r="AB513" s="22944"/>
      <c r="AC513" s="22944"/>
      <c r="AD513" s="22944"/>
      <c r="AE513" s="22944"/>
      <c r="AF513" s="22944"/>
      <c r="AG513" s="22944"/>
      <c r="AH513" s="22944">
        <v>0</v>
      </c>
    </row>
    <row s="62286" customFormat="1" customHeight="1" ht="18.75">
      <c r="A514" s="23333"/>
      <c r="B514" s="23333"/>
      <c r="C514" s="26822" t="s">
        <v>1219</v>
      </c>
      <c r="D514" s="26823"/>
      <c r="E514" s="26824"/>
      <c r="F514" s="26824"/>
      <c r="G514" s="26825"/>
      <c r="H514" s="27095"/>
      <c r="I514" s="27096" t="s">
        <v>1218</v>
      </c>
      <c r="J514" s="27097"/>
      <c r="K514" s="27098"/>
      <c r="L514" s="27099"/>
      <c r="M514" s="26827"/>
      <c r="N514" s="26828"/>
      <c r="O514" s="23339"/>
      <c r="P514" s="23339"/>
      <c r="Q514" s="22944"/>
      <c r="R514" s="22944"/>
      <c r="S514" s="22944"/>
      <c r="T514" s="22944"/>
      <c r="U514" s="22944"/>
      <c r="V514" s="22944"/>
      <c r="W514" s="22944"/>
      <c r="X514" s="22944"/>
      <c r="Y514" s="22944"/>
      <c r="Z514" s="22944"/>
      <c r="AA514" s="22944"/>
      <c r="AB514" s="22944"/>
      <c r="AC514" s="22944"/>
      <c r="AD514" s="22944"/>
      <c r="AE514" s="22944"/>
      <c r="AF514" s="22944"/>
      <c r="AG514" s="22944"/>
      <c r="AH514" s="22944">
        <v>0</v>
      </c>
    </row>
    <row s="62286" customFormat="1" customHeight="1" ht="18.75">
      <c r="A515" s="23333" t="s">
        <v>190</v>
      </c>
      <c r="B515" s="23333" t="s">
        <v>206</v>
      </c>
      <c r="C515" s="26822"/>
      <c r="D515" s="26823"/>
      <c r="E515" s="26824"/>
      <c r="F515" s="26824"/>
      <c r="G515" s="26825" t="str">
        <f>INDEX(PT_DIFFERENTIATION_NTAR,MATCH(B515,PT_DIFFERENTIATION_NTAR_ID,0))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515" s="23206"/>
      <c r="I515" s="26819">
        <v>45292</v>
      </c>
      <c r="J515" s="26820">
        <v>45657</v>
      </c>
      <c r="K515" s="26910">
        <v>0</v>
      </c>
      <c r="L515" s="23206" t="s">
        <v>381</v>
      </c>
      <c r="M515" s="26827"/>
      <c r="N515" s="26828"/>
      <c r="O515" s="23339"/>
      <c r="P515" s="23339"/>
      <c r="Q515" s="22944"/>
      <c r="R515" s="22944"/>
      <c r="S515" s="22944"/>
      <c r="T515" s="22944"/>
      <c r="U515" s="22944"/>
      <c r="V515" s="22944"/>
      <c r="W515" s="22944"/>
      <c r="X515" s="22944"/>
      <c r="Y515" s="22944"/>
      <c r="Z515" s="22944"/>
      <c r="AA515" s="22944"/>
      <c r="AB515" s="22944"/>
      <c r="AC515" s="22944"/>
      <c r="AD515" s="22944"/>
      <c r="AE515" s="22944"/>
      <c r="AF515" s="22944"/>
      <c r="AG515" s="22944"/>
      <c r="AH515" s="22944">
        <v>0</v>
      </c>
    </row>
    <row s="62286" customFormat="1" customHeight="1" ht="56.25">
      <c r="A516" s="23333"/>
      <c r="B516" s="23333"/>
      <c r="C516" s="26822"/>
      <c r="D516" s="26823"/>
      <c r="E516" s="26824"/>
      <c r="F516" s="26824"/>
      <c r="G516" s="26824"/>
      <c r="H516" s="23204" t="s">
        <v>104</v>
      </c>
      <c r="I516" s="26819">
        <v>45658</v>
      </c>
      <c r="J516" s="26820">
        <v>46022</v>
      </c>
      <c r="K516" s="26910">
        <v>0</v>
      </c>
      <c r="L516" s="23206" t="s">
        <v>381</v>
      </c>
      <c r="M516" s="26827"/>
      <c r="N516" s="26828"/>
      <c r="O516" s="23339"/>
      <c r="P516" s="23339"/>
      <c r="Q516" s="22944"/>
      <c r="R516" s="22944"/>
      <c r="S516" s="22944"/>
      <c r="T516" s="22944"/>
      <c r="U516" s="22944"/>
      <c r="V516" s="22944"/>
      <c r="W516" s="22944"/>
      <c r="X516" s="22944"/>
      <c r="Y516" s="22944"/>
      <c r="Z516" s="22944"/>
      <c r="AA516" s="22944"/>
      <c r="AB516" s="22944"/>
      <c r="AC516" s="22944"/>
      <c r="AD516" s="22944"/>
      <c r="AE516" s="22944"/>
      <c r="AF516" s="22944"/>
      <c r="AG516" s="22944"/>
      <c r="AH516" s="22944">
        <v>0</v>
      </c>
    </row>
    <row s="62286" customFormat="1" customHeight="1" ht="56.25">
      <c r="A517" s="23333"/>
      <c r="B517" s="23333"/>
      <c r="C517" s="26822"/>
      <c r="D517" s="26823"/>
      <c r="E517" s="26824"/>
      <c r="F517" s="26824"/>
      <c r="G517" s="26824"/>
      <c r="H517" s="23204" t="s">
        <v>104</v>
      </c>
      <c r="I517" s="26819">
        <v>46023</v>
      </c>
      <c r="J517" s="26820">
        <v>46387</v>
      </c>
      <c r="K517" s="26910">
        <v>0</v>
      </c>
      <c r="L517" s="23206" t="s">
        <v>381</v>
      </c>
      <c r="M517" s="26827"/>
      <c r="N517" s="26828"/>
      <c r="O517" s="23339"/>
      <c r="P517" s="23339"/>
      <c r="Q517" s="22944"/>
      <c r="R517" s="22944"/>
      <c r="S517" s="22944"/>
      <c r="T517" s="22944"/>
      <c r="U517" s="22944"/>
      <c r="V517" s="22944"/>
      <c r="W517" s="22944"/>
      <c r="X517" s="22944"/>
      <c r="Y517" s="22944"/>
      <c r="Z517" s="22944"/>
      <c r="AA517" s="22944"/>
      <c r="AB517" s="22944"/>
      <c r="AC517" s="22944"/>
      <c r="AD517" s="22944"/>
      <c r="AE517" s="22944"/>
      <c r="AF517" s="22944"/>
      <c r="AG517" s="22944"/>
      <c r="AH517" s="22944">
        <v>0</v>
      </c>
    </row>
    <row s="62286" customFormat="1" customHeight="1" ht="56.25">
      <c r="A518" s="23333"/>
      <c r="B518" s="23333"/>
      <c r="C518" s="26822"/>
      <c r="D518" s="26823"/>
      <c r="E518" s="26824"/>
      <c r="F518" s="26824"/>
      <c r="G518" s="26824"/>
      <c r="H518" s="23204" t="s">
        <v>104</v>
      </c>
      <c r="I518" s="26819">
        <v>46388</v>
      </c>
      <c r="J518" s="26820">
        <v>46752</v>
      </c>
      <c r="K518" s="26910">
        <v>0</v>
      </c>
      <c r="L518" s="23206" t="s">
        <v>381</v>
      </c>
      <c r="M518" s="26827"/>
      <c r="N518" s="26828"/>
      <c r="O518" s="23339"/>
      <c r="P518" s="23339"/>
      <c r="Q518" s="22944"/>
      <c r="R518" s="22944"/>
      <c r="S518" s="22944"/>
      <c r="T518" s="22944"/>
      <c r="U518" s="22944"/>
      <c r="V518" s="22944"/>
      <c r="W518" s="22944"/>
      <c r="X518" s="22944"/>
      <c r="Y518" s="22944"/>
      <c r="Z518" s="22944"/>
      <c r="AA518" s="22944"/>
      <c r="AB518" s="22944"/>
      <c r="AC518" s="22944"/>
      <c r="AD518" s="22944"/>
      <c r="AE518" s="22944"/>
      <c r="AF518" s="22944"/>
      <c r="AG518" s="22944"/>
      <c r="AH518" s="22944">
        <v>0</v>
      </c>
    </row>
    <row s="62286" customFormat="1" customHeight="1" ht="56.25">
      <c r="A519" s="23333"/>
      <c r="B519" s="23333"/>
      <c r="C519" s="26822"/>
      <c r="D519" s="26823"/>
      <c r="E519" s="26824"/>
      <c r="F519" s="26824"/>
      <c r="G519" s="26824"/>
      <c r="H519" s="23204" t="s">
        <v>104</v>
      </c>
      <c r="I519" s="26819">
        <v>46753</v>
      </c>
      <c r="J519" s="26820">
        <v>47118</v>
      </c>
      <c r="K519" s="26910">
        <v>0</v>
      </c>
      <c r="L519" s="23206" t="s">
        <v>381</v>
      </c>
      <c r="M519" s="26827"/>
      <c r="N519" s="26828"/>
      <c r="O519" s="23339"/>
      <c r="P519" s="23339"/>
      <c r="Q519" s="22944"/>
      <c r="R519" s="22944"/>
      <c r="S519" s="22944"/>
      <c r="T519" s="22944"/>
      <c r="U519" s="22944"/>
      <c r="V519" s="22944"/>
      <c r="W519" s="22944"/>
      <c r="X519" s="22944"/>
      <c r="Y519" s="22944"/>
      <c r="Z519" s="22944"/>
      <c r="AA519" s="22944"/>
      <c r="AB519" s="22944"/>
      <c r="AC519" s="22944"/>
      <c r="AD519" s="22944"/>
      <c r="AE519" s="22944"/>
      <c r="AF519" s="22944"/>
      <c r="AG519" s="22944"/>
      <c r="AH519" s="22944">
        <v>0</v>
      </c>
    </row>
    <row s="62286" customFormat="1" customHeight="1" ht="18.75">
      <c r="A520" s="23333"/>
      <c r="B520" s="23333"/>
      <c r="C520" s="26822" t="s">
        <v>1219</v>
      </c>
      <c r="D520" s="26823"/>
      <c r="E520" s="26824"/>
      <c r="F520" s="26824"/>
      <c r="G520" s="26825"/>
      <c r="H520" s="27100"/>
      <c r="I520" s="27101" t="s">
        <v>1218</v>
      </c>
      <c r="J520" s="27102"/>
      <c r="K520" s="27103"/>
      <c r="L520" s="27104"/>
      <c r="M520" s="26827"/>
      <c r="N520" s="26828"/>
      <c r="O520" s="23339"/>
      <c r="P520" s="23339"/>
      <c r="Q520" s="22944"/>
      <c r="R520" s="22944"/>
      <c r="S520" s="22944"/>
      <c r="T520" s="22944"/>
      <c r="U520" s="22944"/>
      <c r="V520" s="22944"/>
      <c r="W520" s="22944"/>
      <c r="X520" s="22944"/>
      <c r="Y520" s="22944"/>
      <c r="Z520" s="22944"/>
      <c r="AA520" s="22944"/>
      <c r="AB520" s="22944"/>
      <c r="AC520" s="22944"/>
      <c r="AD520" s="22944"/>
      <c r="AE520" s="22944"/>
      <c r="AF520" s="22944"/>
      <c r="AG520" s="22944"/>
      <c r="AH520" s="22944">
        <v>0</v>
      </c>
    </row>
    <row s="62286" customFormat="1" customHeight="1" ht="18.75">
      <c r="A521" s="23333" t="s">
        <v>190</v>
      </c>
      <c r="B521" s="23333" t="s">
        <v>211</v>
      </c>
      <c r="C521" s="26822"/>
      <c r="D521" s="26823"/>
      <c r="E521" s="26824"/>
      <c r="F521" s="26824"/>
      <c r="G521" s="26825" t="str">
        <f>INDEX(PT_DIFFERENTIATION_NTAR,MATCH(B521,PT_DIFFERENTIATION_NTAR_ID,0))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521" s="23206"/>
      <c r="I521" s="26819">
        <v>45292</v>
      </c>
      <c r="J521" s="26820">
        <v>45657</v>
      </c>
      <c r="K521" s="26910">
        <v>0</v>
      </c>
      <c r="L521" s="23206" t="s">
        <v>381</v>
      </c>
      <c r="M521" s="26827"/>
      <c r="N521" s="26828"/>
      <c r="O521" s="23339"/>
      <c r="P521" s="23339"/>
      <c r="Q521" s="22944"/>
      <c r="R521" s="22944"/>
      <c r="S521" s="22944"/>
      <c r="T521" s="22944"/>
      <c r="U521" s="22944"/>
      <c r="V521" s="22944"/>
      <c r="W521" s="22944"/>
      <c r="X521" s="22944"/>
      <c r="Y521" s="22944"/>
      <c r="Z521" s="22944"/>
      <c r="AA521" s="22944"/>
      <c r="AB521" s="22944"/>
      <c r="AC521" s="22944"/>
      <c r="AD521" s="22944"/>
      <c r="AE521" s="22944"/>
      <c r="AF521" s="22944"/>
      <c r="AG521" s="22944"/>
      <c r="AH521" s="22944">
        <v>0</v>
      </c>
    </row>
    <row s="62286" customFormat="1" customHeight="1" ht="56.25">
      <c r="A522" s="23333"/>
      <c r="B522" s="23333"/>
      <c r="C522" s="26822"/>
      <c r="D522" s="26823"/>
      <c r="E522" s="26824"/>
      <c r="F522" s="26824"/>
      <c r="G522" s="26824"/>
      <c r="H522" s="23204" t="s">
        <v>104</v>
      </c>
      <c r="I522" s="26819">
        <v>45658</v>
      </c>
      <c r="J522" s="26820">
        <v>46022</v>
      </c>
      <c r="K522" s="26910">
        <v>0</v>
      </c>
      <c r="L522" s="23206" t="s">
        <v>381</v>
      </c>
      <c r="M522" s="26827"/>
      <c r="N522" s="26828"/>
      <c r="O522" s="23339"/>
      <c r="P522" s="23339"/>
      <c r="Q522" s="22944"/>
      <c r="R522" s="22944"/>
      <c r="S522" s="22944"/>
      <c r="T522" s="22944"/>
      <c r="U522" s="22944"/>
      <c r="V522" s="22944"/>
      <c r="W522" s="22944"/>
      <c r="X522" s="22944"/>
      <c r="Y522" s="22944"/>
      <c r="Z522" s="22944"/>
      <c r="AA522" s="22944"/>
      <c r="AB522" s="22944"/>
      <c r="AC522" s="22944"/>
      <c r="AD522" s="22944"/>
      <c r="AE522" s="22944"/>
      <c r="AF522" s="22944"/>
      <c r="AG522" s="22944"/>
      <c r="AH522" s="22944">
        <v>0</v>
      </c>
    </row>
    <row s="62286" customFormat="1" customHeight="1" ht="56.25">
      <c r="A523" s="23333"/>
      <c r="B523" s="23333"/>
      <c r="C523" s="26822"/>
      <c r="D523" s="26823"/>
      <c r="E523" s="26824"/>
      <c r="F523" s="26824"/>
      <c r="G523" s="26824"/>
      <c r="H523" s="23204" t="s">
        <v>104</v>
      </c>
      <c r="I523" s="26819">
        <v>46023</v>
      </c>
      <c r="J523" s="26820">
        <v>46387</v>
      </c>
      <c r="K523" s="26910">
        <v>0</v>
      </c>
      <c r="L523" s="23206" t="s">
        <v>381</v>
      </c>
      <c r="M523" s="26827"/>
      <c r="N523" s="26828"/>
      <c r="O523" s="23339"/>
      <c r="P523" s="23339"/>
      <c r="Q523" s="22944"/>
      <c r="R523" s="22944"/>
      <c r="S523" s="22944"/>
      <c r="T523" s="22944"/>
      <c r="U523" s="22944"/>
      <c r="V523" s="22944"/>
      <c r="W523" s="22944"/>
      <c r="X523" s="22944"/>
      <c r="Y523" s="22944"/>
      <c r="Z523" s="22944"/>
      <c r="AA523" s="22944"/>
      <c r="AB523" s="22944"/>
      <c r="AC523" s="22944"/>
      <c r="AD523" s="22944"/>
      <c r="AE523" s="22944"/>
      <c r="AF523" s="22944"/>
      <c r="AG523" s="22944"/>
      <c r="AH523" s="22944">
        <v>0</v>
      </c>
    </row>
    <row s="62286" customFormat="1" customHeight="1" ht="56.25">
      <c r="A524" s="23333"/>
      <c r="B524" s="23333"/>
      <c r="C524" s="26822"/>
      <c r="D524" s="26823"/>
      <c r="E524" s="26824"/>
      <c r="F524" s="26824"/>
      <c r="G524" s="26824"/>
      <c r="H524" s="23204" t="s">
        <v>104</v>
      </c>
      <c r="I524" s="26819">
        <v>46388</v>
      </c>
      <c r="J524" s="26820">
        <v>46752</v>
      </c>
      <c r="K524" s="26910">
        <v>0</v>
      </c>
      <c r="L524" s="23206" t="s">
        <v>381</v>
      </c>
      <c r="M524" s="26827"/>
      <c r="N524" s="26828"/>
      <c r="O524" s="23339"/>
      <c r="P524" s="23339"/>
      <c r="Q524" s="22944"/>
      <c r="R524" s="22944"/>
      <c r="S524" s="22944"/>
      <c r="T524" s="22944"/>
      <c r="U524" s="22944"/>
      <c r="V524" s="22944"/>
      <c r="W524" s="22944"/>
      <c r="X524" s="22944"/>
      <c r="Y524" s="22944"/>
      <c r="Z524" s="22944"/>
      <c r="AA524" s="22944"/>
      <c r="AB524" s="22944"/>
      <c r="AC524" s="22944"/>
      <c r="AD524" s="22944"/>
      <c r="AE524" s="22944"/>
      <c r="AF524" s="22944"/>
      <c r="AG524" s="22944"/>
      <c r="AH524" s="22944">
        <v>0</v>
      </c>
    </row>
    <row s="62286" customFormat="1" customHeight="1" ht="56.25">
      <c r="A525" s="23333"/>
      <c r="B525" s="23333"/>
      <c r="C525" s="26822"/>
      <c r="D525" s="26823"/>
      <c r="E525" s="26824"/>
      <c r="F525" s="26824"/>
      <c r="G525" s="26824"/>
      <c r="H525" s="23204" t="s">
        <v>104</v>
      </c>
      <c r="I525" s="26819">
        <v>46753</v>
      </c>
      <c r="J525" s="26820">
        <v>47118</v>
      </c>
      <c r="K525" s="26910">
        <v>0</v>
      </c>
      <c r="L525" s="23206" t="s">
        <v>381</v>
      </c>
      <c r="M525" s="26827"/>
      <c r="N525" s="26828"/>
      <c r="O525" s="23339"/>
      <c r="P525" s="23339"/>
      <c r="Q525" s="22944"/>
      <c r="R525" s="22944"/>
      <c r="S525" s="22944"/>
      <c r="T525" s="22944"/>
      <c r="U525" s="22944"/>
      <c r="V525" s="22944"/>
      <c r="W525" s="22944"/>
      <c r="X525" s="22944"/>
      <c r="Y525" s="22944"/>
      <c r="Z525" s="22944"/>
      <c r="AA525" s="22944"/>
      <c r="AB525" s="22944"/>
      <c r="AC525" s="22944"/>
      <c r="AD525" s="22944"/>
      <c r="AE525" s="22944"/>
      <c r="AF525" s="22944"/>
      <c r="AG525" s="22944"/>
      <c r="AH525" s="22944">
        <v>0</v>
      </c>
    </row>
    <row s="62286" customFormat="1" customHeight="1" ht="18.75">
      <c r="A526" s="23333"/>
      <c r="B526" s="23333"/>
      <c r="C526" s="26822" t="s">
        <v>1219</v>
      </c>
      <c r="D526" s="26823"/>
      <c r="E526" s="26824"/>
      <c r="F526" s="26824"/>
      <c r="G526" s="26825"/>
      <c r="H526" s="27105"/>
      <c r="I526" s="27106" t="s">
        <v>1218</v>
      </c>
      <c r="J526" s="27107"/>
      <c r="K526" s="27108"/>
      <c r="L526" s="27109"/>
      <c r="M526" s="26827"/>
      <c r="N526" s="26828"/>
      <c r="O526" s="23339"/>
      <c r="P526" s="23339"/>
      <c r="Q526" s="22944"/>
      <c r="R526" s="22944"/>
      <c r="S526" s="22944"/>
      <c r="T526" s="22944"/>
      <c r="U526" s="22944"/>
      <c r="V526" s="22944"/>
      <c r="W526" s="22944"/>
      <c r="X526" s="22944"/>
      <c r="Y526" s="22944"/>
      <c r="Z526" s="22944"/>
      <c r="AA526" s="22944"/>
      <c r="AB526" s="22944"/>
      <c r="AC526" s="22944"/>
      <c r="AD526" s="22944"/>
      <c r="AE526" s="22944"/>
      <c r="AF526" s="22944"/>
      <c r="AG526" s="22944"/>
      <c r="AH526" s="22944">
        <v>0</v>
      </c>
    </row>
    <row s="62286" customFormat="1" customHeight="1" ht="18.75">
      <c r="A527" s="23333" t="s">
        <v>190</v>
      </c>
      <c r="B527" s="23333" t="s">
        <v>216</v>
      </c>
      <c r="C527" s="26822"/>
      <c r="D527" s="26823"/>
      <c r="E527" s="26824"/>
      <c r="F527" s="26824"/>
      <c r="G527" s="26825" t="str">
        <f>INDEX(PT_DIFFERENTIATION_NTAR,MATCH(B527,PT_DIFFERENTIATION_NTAR_ID,0))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527" s="23206"/>
      <c r="I527" s="26819">
        <v>45292</v>
      </c>
      <c r="J527" s="26820">
        <v>45657</v>
      </c>
      <c r="K527" s="26910">
        <v>0</v>
      </c>
      <c r="L527" s="23206" t="s">
        <v>381</v>
      </c>
      <c r="M527" s="26827"/>
      <c r="N527" s="26828"/>
      <c r="O527" s="23339"/>
      <c r="P527" s="23339"/>
      <c r="Q527" s="22944"/>
      <c r="R527" s="22944"/>
      <c r="S527" s="22944"/>
      <c r="T527" s="22944"/>
      <c r="U527" s="22944"/>
      <c r="V527" s="22944"/>
      <c r="W527" s="22944"/>
      <c r="X527" s="22944"/>
      <c r="Y527" s="22944"/>
      <c r="Z527" s="22944"/>
      <c r="AA527" s="22944"/>
      <c r="AB527" s="22944"/>
      <c r="AC527" s="22944"/>
      <c r="AD527" s="22944"/>
      <c r="AE527" s="22944"/>
      <c r="AF527" s="22944"/>
      <c r="AG527" s="22944"/>
      <c r="AH527" s="22944">
        <v>0</v>
      </c>
    </row>
    <row s="62286" customFormat="1" customHeight="1" ht="56.25">
      <c r="A528" s="23333"/>
      <c r="B528" s="23333"/>
      <c r="C528" s="26822"/>
      <c r="D528" s="26823"/>
      <c r="E528" s="26824"/>
      <c r="F528" s="26824"/>
      <c r="G528" s="26824"/>
      <c r="H528" s="23204" t="s">
        <v>104</v>
      </c>
      <c r="I528" s="26819">
        <v>45658</v>
      </c>
      <c r="J528" s="26820">
        <v>46022</v>
      </c>
      <c r="K528" s="26910">
        <v>0</v>
      </c>
      <c r="L528" s="23206" t="s">
        <v>381</v>
      </c>
      <c r="M528" s="26827"/>
      <c r="N528" s="26828"/>
      <c r="O528" s="23339"/>
      <c r="P528" s="23339"/>
      <c r="Q528" s="22944"/>
      <c r="R528" s="22944"/>
      <c r="S528" s="22944"/>
      <c r="T528" s="22944"/>
      <c r="U528" s="22944"/>
      <c r="V528" s="22944"/>
      <c r="W528" s="22944"/>
      <c r="X528" s="22944"/>
      <c r="Y528" s="22944"/>
      <c r="Z528" s="22944"/>
      <c r="AA528" s="22944"/>
      <c r="AB528" s="22944"/>
      <c r="AC528" s="22944"/>
      <c r="AD528" s="22944"/>
      <c r="AE528" s="22944"/>
      <c r="AF528" s="22944"/>
      <c r="AG528" s="22944"/>
      <c r="AH528" s="22944">
        <v>0</v>
      </c>
    </row>
    <row s="62286" customFormat="1" customHeight="1" ht="56.25">
      <c r="A529" s="23333"/>
      <c r="B529" s="23333"/>
      <c r="C529" s="26822"/>
      <c r="D529" s="26823"/>
      <c r="E529" s="26824"/>
      <c r="F529" s="26824"/>
      <c r="G529" s="26824"/>
      <c r="H529" s="23204" t="s">
        <v>104</v>
      </c>
      <c r="I529" s="26819">
        <v>46023</v>
      </c>
      <c r="J529" s="26820">
        <v>46387</v>
      </c>
      <c r="K529" s="26910">
        <v>0</v>
      </c>
      <c r="L529" s="23206" t="s">
        <v>381</v>
      </c>
      <c r="M529" s="26827"/>
      <c r="N529" s="26828"/>
      <c r="O529" s="23339"/>
      <c r="P529" s="23339"/>
      <c r="Q529" s="22944"/>
      <c r="R529" s="22944"/>
      <c r="S529" s="22944"/>
      <c r="T529" s="22944"/>
      <c r="U529" s="22944"/>
      <c r="V529" s="22944"/>
      <c r="W529" s="22944"/>
      <c r="X529" s="22944"/>
      <c r="Y529" s="22944"/>
      <c r="Z529" s="22944"/>
      <c r="AA529" s="22944"/>
      <c r="AB529" s="22944"/>
      <c r="AC529" s="22944"/>
      <c r="AD529" s="22944"/>
      <c r="AE529" s="22944"/>
      <c r="AF529" s="22944"/>
      <c r="AG529" s="22944"/>
      <c r="AH529" s="22944">
        <v>0</v>
      </c>
    </row>
    <row s="62286" customFormat="1" customHeight="1" ht="56.25">
      <c r="A530" s="23333"/>
      <c r="B530" s="23333"/>
      <c r="C530" s="26822"/>
      <c r="D530" s="26823"/>
      <c r="E530" s="26824"/>
      <c r="F530" s="26824"/>
      <c r="G530" s="26824"/>
      <c r="H530" s="23204" t="s">
        <v>104</v>
      </c>
      <c r="I530" s="26819">
        <v>46388</v>
      </c>
      <c r="J530" s="26820">
        <v>46752</v>
      </c>
      <c r="K530" s="26910">
        <v>0</v>
      </c>
      <c r="L530" s="23206" t="s">
        <v>381</v>
      </c>
      <c r="M530" s="26827"/>
      <c r="N530" s="26828"/>
      <c r="O530" s="23339"/>
      <c r="P530" s="23339"/>
      <c r="Q530" s="22944"/>
      <c r="R530" s="22944"/>
      <c r="S530" s="22944"/>
      <c r="T530" s="22944"/>
      <c r="U530" s="22944"/>
      <c r="V530" s="22944"/>
      <c r="W530" s="22944"/>
      <c r="X530" s="22944"/>
      <c r="Y530" s="22944"/>
      <c r="Z530" s="22944"/>
      <c r="AA530" s="22944"/>
      <c r="AB530" s="22944"/>
      <c r="AC530" s="22944"/>
      <c r="AD530" s="22944"/>
      <c r="AE530" s="22944"/>
      <c r="AF530" s="22944"/>
      <c r="AG530" s="22944"/>
      <c r="AH530" s="22944">
        <v>0</v>
      </c>
    </row>
    <row s="62286" customFormat="1" customHeight="1" ht="56.25">
      <c r="A531" s="23333"/>
      <c r="B531" s="23333"/>
      <c r="C531" s="26822"/>
      <c r="D531" s="26823"/>
      <c r="E531" s="26824"/>
      <c r="F531" s="26824"/>
      <c r="G531" s="26824"/>
      <c r="H531" s="23204" t="s">
        <v>104</v>
      </c>
      <c r="I531" s="26819">
        <v>46753</v>
      </c>
      <c r="J531" s="26820">
        <v>47118</v>
      </c>
      <c r="K531" s="26910">
        <v>0</v>
      </c>
      <c r="L531" s="23206" t="s">
        <v>381</v>
      </c>
      <c r="M531" s="26827"/>
      <c r="N531" s="26828"/>
      <c r="O531" s="23339"/>
      <c r="P531" s="23339"/>
      <c r="Q531" s="22944"/>
      <c r="R531" s="22944"/>
      <c r="S531" s="22944"/>
      <c r="T531" s="22944"/>
      <c r="U531" s="22944"/>
      <c r="V531" s="22944"/>
      <c r="W531" s="22944"/>
      <c r="X531" s="22944"/>
      <c r="Y531" s="22944"/>
      <c r="Z531" s="22944"/>
      <c r="AA531" s="22944"/>
      <c r="AB531" s="22944"/>
      <c r="AC531" s="22944"/>
      <c r="AD531" s="22944"/>
      <c r="AE531" s="22944"/>
      <c r="AF531" s="22944"/>
      <c r="AG531" s="22944"/>
      <c r="AH531" s="22944">
        <v>0</v>
      </c>
    </row>
    <row s="62286" customFormat="1" customHeight="1" ht="18.75">
      <c r="A532" s="23333"/>
      <c r="B532" s="23333"/>
      <c r="C532" s="26822" t="s">
        <v>1219</v>
      </c>
      <c r="D532" s="26823"/>
      <c r="E532" s="26824"/>
      <c r="F532" s="26824"/>
      <c r="G532" s="26825"/>
      <c r="H532" s="27110"/>
      <c r="I532" s="27111" t="s">
        <v>1218</v>
      </c>
      <c r="J532" s="27112"/>
      <c r="K532" s="27113"/>
      <c r="L532" s="27114"/>
      <c r="M532" s="26827"/>
      <c r="N532" s="26828"/>
      <c r="O532" s="23339"/>
      <c r="P532" s="23339"/>
      <c r="Q532" s="22944"/>
      <c r="R532" s="22944"/>
      <c r="S532" s="22944"/>
      <c r="T532" s="22944"/>
      <c r="U532" s="22944"/>
      <c r="V532" s="22944"/>
      <c r="W532" s="22944"/>
      <c r="X532" s="22944"/>
      <c r="Y532" s="22944"/>
      <c r="Z532" s="22944"/>
      <c r="AA532" s="22944"/>
      <c r="AB532" s="22944"/>
      <c r="AC532" s="22944"/>
      <c r="AD532" s="22944"/>
      <c r="AE532" s="22944"/>
      <c r="AF532" s="22944"/>
      <c r="AG532" s="22944"/>
      <c r="AH532" s="22944">
        <v>0</v>
      </c>
    </row>
    <row s="62286" customFormat="1" customHeight="1" ht="0.75">
      <c r="A533" s="2472"/>
      <c r="B533" s="2472"/>
      <c r="C533" s="1061" t="s">
        <v>1228</v>
      </c>
      <c r="D533" s="3154"/>
      <c r="E533" s="2896"/>
      <c r="F533" s="3075"/>
      <c r="G533" s="1092"/>
      <c r="H533" s="2192"/>
      <c r="I533" s="1343"/>
      <c r="J533" s="1263"/>
      <c r="K533" s="2192"/>
      <c r="L533" s="906"/>
      <c r="M533" s="1033"/>
      <c r="N533" s="1026"/>
      <c r="O533" s="2316"/>
      <c r="P533" s="2316"/>
      <c r="AH533" s="2323">
        <v>0</v>
      </c>
    </row>
    <row s="62286" customFormat="1" customHeight="1" ht="14.25">
      <c r="A534" s="2472" t="s">
        <v>223</v>
      </c>
      <c r="B534" s="2472" t="s">
        <v>224</v>
      </c>
      <c r="C534" s="1061"/>
      <c r="D534" s="3154"/>
      <c r="E534" s="2896"/>
      <c r="F534" s="3075" t="str">
        <f>INDEX(PT_DIFFERENTIATION_VTAR,MATCH(A534,PT_DIFFERENTIATION_VTAR_ID,0))</f>
        <v>Тарифы на теплоноситель, поставляемый теплоснабжающими организациями потребителям, другим теплоснабжающим организациям</v>
      </c>
      <c r="G534" s="3119" t="str">
        <f>INDEX(PT_DIFFERENTIATION_NTAR,MATCH(B534,PT_DIFFERENTIATION_NTAR_ID,0))</f>
        <v>Тарифы на теплоноситель, поставляемый потребителям Артемовского городского округа</v>
      </c>
      <c r="H534" s="2554"/>
      <c r="I534" s="9324">
        <v>45292</v>
      </c>
      <c r="J534" s="2465">
        <v>45657</v>
      </c>
      <c r="K534" s="2470">
        <v>278.85</v>
      </c>
      <c r="L534" s="2554" t="s">
        <v>381</v>
      </c>
      <c r="M534" s="1033"/>
      <c r="N534" s="1026"/>
      <c r="O534" s="2316"/>
      <c r="P534" s="2316"/>
      <c r="AH534" s="2323">
        <v>0</v>
      </c>
    </row>
    <row s="62286" customFormat="1" customHeight="1" ht="14.25">
      <c r="A535" s="8094"/>
      <c r="B535" s="8094"/>
      <c r="C535" s="9344"/>
      <c r="D535" s="9345"/>
      <c r="E535" s="9346"/>
      <c r="F535" s="9346"/>
      <c r="G535" s="9346"/>
      <c r="H535" s="7448" t="s">
        <v>104</v>
      </c>
      <c r="I535" s="9324">
        <v>45658</v>
      </c>
      <c r="J535" s="9325">
        <v>46022</v>
      </c>
      <c r="K535" s="9364">
        <v>220.95</v>
      </c>
      <c r="L535" s="7450" t="s">
        <v>381</v>
      </c>
      <c r="M535" s="7985"/>
      <c r="N535" s="9349"/>
      <c r="O535" s="8100"/>
      <c r="P535" s="8100"/>
      <c r="Q535" s="7330"/>
      <c r="R535" s="7330"/>
      <c r="S535" s="7330"/>
      <c r="T535" s="7330"/>
      <c r="U535" s="7330"/>
      <c r="V535" s="7330"/>
      <c r="W535" s="7330"/>
      <c r="X535" s="7330"/>
      <c r="Y535" s="7330"/>
      <c r="Z535" s="7330"/>
      <c r="AA535" s="7330"/>
      <c r="AB535" s="7330"/>
      <c r="AC535" s="7330"/>
      <c r="AD535" s="7330"/>
      <c r="AE535" s="7330"/>
      <c r="AF535" s="7330"/>
      <c r="AG535" s="7330"/>
      <c r="AH535" s="7330">
        <v>0</v>
      </c>
    </row>
    <row s="62286" customFormat="1" customHeight="1" ht="14.25">
      <c r="A536" s="8094"/>
      <c r="B536" s="8094"/>
      <c r="C536" s="9344"/>
      <c r="D536" s="9345"/>
      <c r="E536" s="9346"/>
      <c r="F536" s="9346"/>
      <c r="G536" s="9346"/>
      <c r="H536" s="7448" t="s">
        <v>104</v>
      </c>
      <c r="I536" s="9324">
        <v>46023</v>
      </c>
      <c r="J536" s="9325">
        <v>46387</v>
      </c>
      <c r="K536" s="9364">
        <v>173.28</v>
      </c>
      <c r="L536" s="7450" t="s">
        <v>381</v>
      </c>
      <c r="M536" s="7985"/>
      <c r="N536" s="9349"/>
      <c r="O536" s="8100"/>
      <c r="P536" s="8100"/>
      <c r="Q536" s="7330"/>
      <c r="R536" s="7330"/>
      <c r="S536" s="7330"/>
      <c r="T536" s="7330"/>
      <c r="U536" s="7330"/>
      <c r="V536" s="7330"/>
      <c r="W536" s="7330"/>
      <c r="X536" s="7330"/>
      <c r="Y536" s="7330"/>
      <c r="Z536" s="7330"/>
      <c r="AA536" s="7330"/>
      <c r="AB536" s="7330"/>
      <c r="AC536" s="7330"/>
      <c r="AD536" s="7330"/>
      <c r="AE536" s="7330"/>
      <c r="AF536" s="7330"/>
      <c r="AG536" s="7330"/>
      <c r="AH536" s="7330">
        <v>0</v>
      </c>
    </row>
    <row s="62286" customFormat="1" customHeight="1" ht="14.25">
      <c r="A537" s="8094"/>
      <c r="B537" s="8094"/>
      <c r="C537" s="9344"/>
      <c r="D537" s="9345"/>
      <c r="E537" s="9346"/>
      <c r="F537" s="9346"/>
      <c r="G537" s="9346"/>
      <c r="H537" s="7448" t="s">
        <v>104</v>
      </c>
      <c r="I537" s="9324">
        <v>46388</v>
      </c>
      <c r="J537" s="9325">
        <v>46752</v>
      </c>
      <c r="K537" s="9364">
        <v>0</v>
      </c>
      <c r="L537" s="7450" t="s">
        <v>381</v>
      </c>
      <c r="M537" s="7985"/>
      <c r="N537" s="9349"/>
      <c r="O537" s="8100"/>
      <c r="P537" s="8100"/>
      <c r="Q537" s="7330"/>
      <c r="R537" s="7330"/>
      <c r="S537" s="7330"/>
      <c r="T537" s="7330"/>
      <c r="U537" s="7330"/>
      <c r="V537" s="7330"/>
      <c r="W537" s="7330"/>
      <c r="X537" s="7330"/>
      <c r="Y537" s="7330"/>
      <c r="Z537" s="7330"/>
      <c r="AA537" s="7330"/>
      <c r="AB537" s="7330"/>
      <c r="AC537" s="7330"/>
      <c r="AD537" s="7330"/>
      <c r="AE537" s="7330"/>
      <c r="AF537" s="7330"/>
      <c r="AG537" s="7330"/>
      <c r="AH537" s="7330">
        <v>0</v>
      </c>
    </row>
    <row s="62286" customFormat="1" customHeight="1" ht="14.25">
      <c r="A538" s="8094"/>
      <c r="B538" s="8094"/>
      <c r="C538" s="9344"/>
      <c r="D538" s="9345"/>
      <c r="E538" s="9346"/>
      <c r="F538" s="9346"/>
      <c r="G538" s="9346"/>
      <c r="H538" s="7448" t="s">
        <v>104</v>
      </c>
      <c r="I538" s="9324">
        <v>46753</v>
      </c>
      <c r="J538" s="9325">
        <v>47118</v>
      </c>
      <c r="K538" s="9364">
        <v>0</v>
      </c>
      <c r="L538" s="7450" t="s">
        <v>381</v>
      </c>
      <c r="M538" s="7985"/>
      <c r="N538" s="9349"/>
      <c r="O538" s="8100"/>
      <c r="P538" s="8100"/>
      <c r="Q538" s="7330"/>
      <c r="R538" s="7330"/>
      <c r="S538" s="7330"/>
      <c r="T538" s="7330"/>
      <c r="U538" s="7330"/>
      <c r="V538" s="7330"/>
      <c r="W538" s="7330"/>
      <c r="X538" s="7330"/>
      <c r="Y538" s="7330"/>
      <c r="Z538" s="7330"/>
      <c r="AA538" s="7330"/>
      <c r="AB538" s="7330"/>
      <c r="AC538" s="7330"/>
      <c r="AD538" s="7330"/>
      <c r="AE538" s="7330"/>
      <c r="AF538" s="7330"/>
      <c r="AG538" s="7330"/>
      <c r="AH538" s="7330">
        <v>0</v>
      </c>
    </row>
    <row s="62286" customFormat="1" customHeight="1" ht="18.75">
      <c r="A539" s="2472"/>
      <c r="B539" s="2472"/>
      <c r="C539" s="1061" t="s">
        <v>1219</v>
      </c>
      <c r="D539" s="3154"/>
      <c r="E539" s="2896"/>
      <c r="F539" s="3075"/>
      <c r="G539" s="3119"/>
      <c r="H539" s="2192"/>
      <c r="I539" s="1343" t="s">
        <v>1218</v>
      </c>
      <c r="J539" s="1263"/>
      <c r="K539" s="2192"/>
      <c r="L539" s="906"/>
      <c r="M539" s="1033"/>
      <c r="N539" s="1026"/>
      <c r="O539" s="2316"/>
      <c r="P539" s="2316"/>
      <c r="AH539" s="2323">
        <v>0</v>
      </c>
    </row>
    <row s="62286" customFormat="1" customHeight="1" ht="14.25">
      <c r="A540" s="4421" t="s">
        <v>223</v>
      </c>
      <c r="B540" s="4421" t="s">
        <v>229</v>
      </c>
      <c r="C540" s="5479"/>
      <c r="D540" s="5480"/>
      <c r="E540" s="5481"/>
      <c r="F540" s="5481"/>
      <c r="G540" s="5482" t="str">
        <f>INDEX(PT_DIFFERENTIATION_NTAR,MATCH(B540,PT_DIFFERENTIATION_NTAR_ID,0))</f>
        <v>Тарифы на теплоноситель, поставляемый потребителям Владивостокского городского округа</v>
      </c>
      <c r="H540" s="5483"/>
      <c r="I540" s="9324">
        <v>45292</v>
      </c>
      <c r="J540" s="5485">
        <v>45657</v>
      </c>
      <c r="K540" s="5502">
        <v>56921.17</v>
      </c>
      <c r="L540" s="5483" t="s">
        <v>381</v>
      </c>
      <c r="M540" s="5487"/>
      <c r="N540" s="5488"/>
      <c r="O540" s="4431"/>
      <c r="P540" s="4431"/>
      <c r="Q540" s="4432"/>
      <c r="R540" s="4432"/>
      <c r="S540" s="4432"/>
      <c r="T540" s="4432"/>
      <c r="U540" s="4432"/>
      <c r="V540" s="4432"/>
      <c r="W540" s="4432"/>
      <c r="X540" s="4432"/>
      <c r="Y540" s="4432"/>
      <c r="Z540" s="4432"/>
      <c r="AA540" s="4432"/>
      <c r="AB540" s="4432"/>
      <c r="AC540" s="4432"/>
      <c r="AD540" s="4432"/>
      <c r="AE540" s="4432"/>
      <c r="AF540" s="4432"/>
      <c r="AG540" s="4432"/>
      <c r="AH540" s="4432">
        <v>0</v>
      </c>
    </row>
    <row s="62286" customFormat="1" customHeight="1" ht="14.25">
      <c r="A541" s="8094"/>
      <c r="B541" s="8094"/>
      <c r="C541" s="9344"/>
      <c r="D541" s="9345"/>
      <c r="E541" s="9346"/>
      <c r="F541" s="9346"/>
      <c r="G541" s="9346"/>
      <c r="H541" s="7448" t="s">
        <v>104</v>
      </c>
      <c r="I541" s="9324">
        <v>45658</v>
      </c>
      <c r="J541" s="9325">
        <v>46022</v>
      </c>
      <c r="K541" s="9364">
        <v>0</v>
      </c>
      <c r="L541" s="7450" t="s">
        <v>381</v>
      </c>
      <c r="M541" s="7985"/>
      <c r="N541" s="9349"/>
      <c r="O541" s="8100"/>
      <c r="P541" s="8100"/>
      <c r="Q541" s="7330"/>
      <c r="R541" s="7330"/>
      <c r="S541" s="7330"/>
      <c r="T541" s="7330"/>
      <c r="U541" s="7330"/>
      <c r="V541" s="7330"/>
      <c r="W541" s="7330"/>
      <c r="X541" s="7330"/>
      <c r="Y541" s="7330"/>
      <c r="Z541" s="7330"/>
      <c r="AA541" s="7330"/>
      <c r="AB541" s="7330"/>
      <c r="AC541" s="7330"/>
      <c r="AD541" s="7330"/>
      <c r="AE541" s="7330"/>
      <c r="AF541" s="7330"/>
      <c r="AG541" s="7330"/>
      <c r="AH541" s="7330">
        <v>0</v>
      </c>
    </row>
    <row s="62286" customFormat="1" customHeight="1" ht="14.25">
      <c r="A542" s="8094"/>
      <c r="B542" s="8094"/>
      <c r="C542" s="9344"/>
      <c r="D542" s="9345"/>
      <c r="E542" s="9346"/>
      <c r="F542" s="9346"/>
      <c r="G542" s="9346"/>
      <c r="H542" s="7448" t="s">
        <v>104</v>
      </c>
      <c r="I542" s="9324">
        <v>46023</v>
      </c>
      <c r="J542" s="9325">
        <v>46387</v>
      </c>
      <c r="K542" s="9364">
        <v>13434.31</v>
      </c>
      <c r="L542" s="7450" t="s">
        <v>381</v>
      </c>
      <c r="M542" s="7985"/>
      <c r="N542" s="9349"/>
      <c r="O542" s="8100"/>
      <c r="P542" s="8100"/>
      <c r="Q542" s="7330"/>
      <c r="R542" s="7330"/>
      <c r="S542" s="7330"/>
      <c r="T542" s="7330"/>
      <c r="U542" s="7330"/>
      <c r="V542" s="7330"/>
      <c r="W542" s="7330"/>
      <c r="X542" s="7330"/>
      <c r="Y542" s="7330"/>
      <c r="Z542" s="7330"/>
      <c r="AA542" s="7330"/>
      <c r="AB542" s="7330"/>
      <c r="AC542" s="7330"/>
      <c r="AD542" s="7330"/>
      <c r="AE542" s="7330"/>
      <c r="AF542" s="7330"/>
      <c r="AG542" s="7330"/>
      <c r="AH542" s="7330">
        <v>0</v>
      </c>
    </row>
    <row s="62286" customFormat="1" customHeight="1" ht="14.25">
      <c r="A543" s="8094"/>
      <c r="B543" s="8094"/>
      <c r="C543" s="9344"/>
      <c r="D543" s="9345"/>
      <c r="E543" s="9346"/>
      <c r="F543" s="9346"/>
      <c r="G543" s="9346"/>
      <c r="H543" s="7448" t="s">
        <v>104</v>
      </c>
      <c r="I543" s="9324">
        <v>46388</v>
      </c>
      <c r="J543" s="9325">
        <v>46752</v>
      </c>
      <c r="K543" s="9364">
        <v>0</v>
      </c>
      <c r="L543" s="7450" t="s">
        <v>381</v>
      </c>
      <c r="M543" s="7985"/>
      <c r="N543" s="9349"/>
      <c r="O543" s="8100"/>
      <c r="P543" s="8100"/>
      <c r="Q543" s="7330"/>
      <c r="R543" s="7330"/>
      <c r="S543" s="7330"/>
      <c r="T543" s="7330"/>
      <c r="U543" s="7330"/>
      <c r="V543" s="7330"/>
      <c r="W543" s="7330"/>
      <c r="X543" s="7330"/>
      <c r="Y543" s="7330"/>
      <c r="Z543" s="7330"/>
      <c r="AA543" s="7330"/>
      <c r="AB543" s="7330"/>
      <c r="AC543" s="7330"/>
      <c r="AD543" s="7330"/>
      <c r="AE543" s="7330"/>
      <c r="AF543" s="7330"/>
      <c r="AG543" s="7330"/>
      <c r="AH543" s="7330">
        <v>0</v>
      </c>
    </row>
    <row s="62286" customFormat="1" customHeight="1" ht="14.25">
      <c r="A544" s="8094"/>
      <c r="B544" s="8094"/>
      <c r="C544" s="9344"/>
      <c r="D544" s="9345"/>
      <c r="E544" s="9346"/>
      <c r="F544" s="9346"/>
      <c r="G544" s="9346"/>
      <c r="H544" s="7448" t="s">
        <v>104</v>
      </c>
      <c r="I544" s="9324">
        <v>46753</v>
      </c>
      <c r="J544" s="9325">
        <v>47118</v>
      </c>
      <c r="K544" s="9364">
        <v>0</v>
      </c>
      <c r="L544" s="7450" t="s">
        <v>381</v>
      </c>
      <c r="M544" s="7985"/>
      <c r="N544" s="9349"/>
      <c r="O544" s="8100"/>
      <c r="P544" s="8100"/>
      <c r="Q544" s="7330"/>
      <c r="R544" s="7330"/>
      <c r="S544" s="7330"/>
      <c r="T544" s="7330"/>
      <c r="U544" s="7330"/>
      <c r="V544" s="7330"/>
      <c r="W544" s="7330"/>
      <c r="X544" s="7330"/>
      <c r="Y544" s="7330"/>
      <c r="Z544" s="7330"/>
      <c r="AA544" s="7330"/>
      <c r="AB544" s="7330"/>
      <c r="AC544" s="7330"/>
      <c r="AD544" s="7330"/>
      <c r="AE544" s="7330"/>
      <c r="AF544" s="7330"/>
      <c r="AG544" s="7330"/>
      <c r="AH544" s="7330">
        <v>0</v>
      </c>
    </row>
    <row s="62286" customFormat="1" customHeight="1" ht="18.75">
      <c r="A545" s="4421"/>
      <c r="B545" s="4421"/>
      <c r="C545" s="5479" t="s">
        <v>1219</v>
      </c>
      <c r="D545" s="5480"/>
      <c r="E545" s="5481"/>
      <c r="F545" s="5481"/>
      <c r="G545" s="5482"/>
      <c r="H545" s="5533"/>
      <c r="I545" s="5534" t="s">
        <v>1218</v>
      </c>
      <c r="J545" s="5535"/>
      <c r="K545" s="5536"/>
      <c r="L545" s="5537"/>
      <c r="M545" s="5487"/>
      <c r="N545" s="5488"/>
      <c r="O545" s="4431"/>
      <c r="P545" s="4431"/>
      <c r="Q545" s="4432"/>
      <c r="R545" s="4432"/>
      <c r="S545" s="4432"/>
      <c r="T545" s="4432"/>
      <c r="U545" s="4432"/>
      <c r="V545" s="4432"/>
      <c r="W545" s="4432"/>
      <c r="X545" s="4432"/>
      <c r="Y545" s="4432"/>
      <c r="Z545" s="4432"/>
      <c r="AA545" s="4432"/>
      <c r="AB545" s="4432"/>
      <c r="AC545" s="4432"/>
      <c r="AD545" s="4432"/>
      <c r="AE545" s="4432"/>
      <c r="AF545" s="4432"/>
      <c r="AG545" s="4432"/>
      <c r="AH545" s="4432">
        <v>0</v>
      </c>
    </row>
    <row s="62286" customFormat="1" customHeight="1" ht="14.25">
      <c r="A546" s="4421" t="s">
        <v>223</v>
      </c>
      <c r="B546" s="4421" t="s">
        <v>234</v>
      </c>
      <c r="C546" s="5479"/>
      <c r="D546" s="5480"/>
      <c r="E546" s="5481"/>
      <c r="F546" s="5481"/>
      <c r="G546" s="5482" t="str">
        <f>INDEX(PT_DIFFERENTIATION_NTAR,MATCH(B546,PT_DIFFERENTIATION_NTAR_ID,0))</f>
        <v>Тарифы на теплоноситель, поставляемый потребителям Партизанского городского округа</v>
      </c>
      <c r="H546" s="5483"/>
      <c r="I546" s="9324">
        <v>45292</v>
      </c>
      <c r="J546" s="5485">
        <v>45657</v>
      </c>
      <c r="K546" s="5502">
        <v>291.28</v>
      </c>
      <c r="L546" s="5483" t="s">
        <v>381</v>
      </c>
      <c r="M546" s="5487"/>
      <c r="N546" s="5488"/>
      <c r="O546" s="4431"/>
      <c r="P546" s="4431"/>
      <c r="Q546" s="4432"/>
      <c r="R546" s="4432"/>
      <c r="S546" s="4432"/>
      <c r="T546" s="4432"/>
      <c r="U546" s="4432"/>
      <c r="V546" s="4432"/>
      <c r="W546" s="4432"/>
      <c r="X546" s="4432"/>
      <c r="Y546" s="4432"/>
      <c r="Z546" s="4432"/>
      <c r="AA546" s="4432"/>
      <c r="AB546" s="4432"/>
      <c r="AC546" s="4432"/>
      <c r="AD546" s="4432"/>
      <c r="AE546" s="4432"/>
      <c r="AF546" s="4432"/>
      <c r="AG546" s="4432"/>
      <c r="AH546" s="4432">
        <v>0</v>
      </c>
    </row>
    <row s="62286" customFormat="1" customHeight="1" ht="14.25">
      <c r="A547" s="8094"/>
      <c r="B547" s="8094"/>
      <c r="C547" s="9344"/>
      <c r="D547" s="9345"/>
      <c r="E547" s="9346"/>
      <c r="F547" s="9346"/>
      <c r="G547" s="9346"/>
      <c r="H547" s="7448" t="s">
        <v>104</v>
      </c>
      <c r="I547" s="9324">
        <v>45658</v>
      </c>
      <c r="J547" s="9325">
        <v>46022</v>
      </c>
      <c r="K547" s="9364">
        <v>299.16</v>
      </c>
      <c r="L547" s="7450" t="s">
        <v>381</v>
      </c>
      <c r="M547" s="7985"/>
      <c r="N547" s="9349"/>
      <c r="O547" s="8100"/>
      <c r="P547" s="8100"/>
      <c r="Q547" s="7330"/>
      <c r="R547" s="7330"/>
      <c r="S547" s="7330"/>
      <c r="T547" s="7330"/>
      <c r="U547" s="7330"/>
      <c r="V547" s="7330"/>
      <c r="W547" s="7330"/>
      <c r="X547" s="7330"/>
      <c r="Y547" s="7330"/>
      <c r="Z547" s="7330"/>
      <c r="AA547" s="7330"/>
      <c r="AB547" s="7330"/>
      <c r="AC547" s="7330"/>
      <c r="AD547" s="7330"/>
      <c r="AE547" s="7330"/>
      <c r="AF547" s="7330"/>
      <c r="AG547" s="7330"/>
      <c r="AH547" s="7330">
        <v>0</v>
      </c>
    </row>
    <row s="62286" customFormat="1" customHeight="1" ht="14.25">
      <c r="A548" s="8094"/>
      <c r="B548" s="8094"/>
      <c r="C548" s="9344"/>
      <c r="D548" s="9345"/>
      <c r="E548" s="9346"/>
      <c r="F548" s="9346"/>
      <c r="G548" s="9346"/>
      <c r="H548" s="7448" t="s">
        <v>104</v>
      </c>
      <c r="I548" s="9324">
        <v>46023</v>
      </c>
      <c r="J548" s="9325">
        <v>46387</v>
      </c>
      <c r="K548" s="9364">
        <v>482.85</v>
      </c>
      <c r="L548" s="7450" t="s">
        <v>381</v>
      </c>
      <c r="M548" s="7985"/>
      <c r="N548" s="9349"/>
      <c r="O548" s="8100"/>
      <c r="P548" s="8100"/>
      <c r="Q548" s="7330"/>
      <c r="R548" s="7330"/>
      <c r="S548" s="7330"/>
      <c r="T548" s="7330"/>
      <c r="U548" s="7330"/>
      <c r="V548" s="7330"/>
      <c r="W548" s="7330"/>
      <c r="X548" s="7330"/>
      <c r="Y548" s="7330"/>
      <c r="Z548" s="7330"/>
      <c r="AA548" s="7330"/>
      <c r="AB548" s="7330"/>
      <c r="AC548" s="7330"/>
      <c r="AD548" s="7330"/>
      <c r="AE548" s="7330"/>
      <c r="AF548" s="7330"/>
      <c r="AG548" s="7330"/>
      <c r="AH548" s="7330">
        <v>0</v>
      </c>
    </row>
    <row s="62286" customFormat="1" customHeight="1" ht="14.25">
      <c r="A549" s="8094"/>
      <c r="B549" s="8094"/>
      <c r="C549" s="9344"/>
      <c r="D549" s="9345"/>
      <c r="E549" s="9346"/>
      <c r="F549" s="9346"/>
      <c r="G549" s="9346"/>
      <c r="H549" s="7448" t="s">
        <v>104</v>
      </c>
      <c r="I549" s="9324">
        <v>46388</v>
      </c>
      <c r="J549" s="9325">
        <v>46752</v>
      </c>
      <c r="K549" s="9364">
        <v>0</v>
      </c>
      <c r="L549" s="7450" t="s">
        <v>381</v>
      </c>
      <c r="M549" s="7985"/>
      <c r="N549" s="9349"/>
      <c r="O549" s="8100"/>
      <c r="P549" s="8100"/>
      <c r="Q549" s="7330"/>
      <c r="R549" s="7330"/>
      <c r="S549" s="7330"/>
      <c r="T549" s="7330"/>
      <c r="U549" s="7330"/>
      <c r="V549" s="7330"/>
      <c r="W549" s="7330"/>
      <c r="X549" s="7330"/>
      <c r="Y549" s="7330"/>
      <c r="Z549" s="7330"/>
      <c r="AA549" s="7330"/>
      <c r="AB549" s="7330"/>
      <c r="AC549" s="7330"/>
      <c r="AD549" s="7330"/>
      <c r="AE549" s="7330"/>
      <c r="AF549" s="7330"/>
      <c r="AG549" s="7330"/>
      <c r="AH549" s="7330">
        <v>0</v>
      </c>
    </row>
    <row s="62286" customFormat="1" customHeight="1" ht="14.25">
      <c r="A550" s="8094"/>
      <c r="B550" s="8094"/>
      <c r="C550" s="9344"/>
      <c r="D550" s="9345"/>
      <c r="E550" s="9346"/>
      <c r="F550" s="9346"/>
      <c r="G550" s="9346"/>
      <c r="H550" s="7448" t="s">
        <v>104</v>
      </c>
      <c r="I550" s="9324">
        <v>46753</v>
      </c>
      <c r="J550" s="9325">
        <v>47118</v>
      </c>
      <c r="K550" s="9364">
        <v>0</v>
      </c>
      <c r="L550" s="7450" t="s">
        <v>381</v>
      </c>
      <c r="M550" s="7985"/>
      <c r="N550" s="9349"/>
      <c r="O550" s="8100"/>
      <c r="P550" s="8100"/>
      <c r="Q550" s="7330"/>
      <c r="R550" s="7330"/>
      <c r="S550" s="7330"/>
      <c r="T550" s="7330"/>
      <c r="U550" s="7330"/>
      <c r="V550" s="7330"/>
      <c r="W550" s="7330"/>
      <c r="X550" s="7330"/>
      <c r="Y550" s="7330"/>
      <c r="Z550" s="7330"/>
      <c r="AA550" s="7330"/>
      <c r="AB550" s="7330"/>
      <c r="AC550" s="7330"/>
      <c r="AD550" s="7330"/>
      <c r="AE550" s="7330"/>
      <c r="AF550" s="7330"/>
      <c r="AG550" s="7330"/>
      <c r="AH550" s="7330">
        <v>0</v>
      </c>
    </row>
    <row s="62286" customFormat="1" customHeight="1" ht="18.75">
      <c r="A551" s="4421"/>
      <c r="B551" s="4421"/>
      <c r="C551" s="5479" t="s">
        <v>1219</v>
      </c>
      <c r="D551" s="5480"/>
      <c r="E551" s="5481"/>
      <c r="F551" s="5481"/>
      <c r="G551" s="5482"/>
      <c r="H551" s="5538"/>
      <c r="I551" s="5539" t="s">
        <v>1218</v>
      </c>
      <c r="J551" s="5540"/>
      <c r="K551" s="5541"/>
      <c r="L551" s="5542"/>
      <c r="M551" s="5487"/>
      <c r="N551" s="5488"/>
      <c r="O551" s="4431"/>
      <c r="P551" s="4431"/>
      <c r="Q551" s="4432"/>
      <c r="R551" s="4432"/>
      <c r="S551" s="4432"/>
      <c r="T551" s="4432"/>
      <c r="U551" s="4432"/>
      <c r="V551" s="4432"/>
      <c r="W551" s="4432"/>
      <c r="X551" s="4432"/>
      <c r="Y551" s="4432"/>
      <c r="Z551" s="4432"/>
      <c r="AA551" s="4432"/>
      <c r="AB551" s="4432"/>
      <c r="AC551" s="4432"/>
      <c r="AD551" s="4432"/>
      <c r="AE551" s="4432"/>
      <c r="AF551" s="4432"/>
      <c r="AG551" s="4432"/>
      <c r="AH551" s="4432">
        <v>0</v>
      </c>
    </row>
    <row s="62286" customFormat="1" customHeight="1" ht="0.75">
      <c r="A552" s="2472"/>
      <c r="B552" s="2472"/>
      <c r="C552" s="1061" t="s">
        <v>1228</v>
      </c>
      <c r="D552" s="3154"/>
      <c r="E552" s="2896"/>
      <c r="F552" s="3075"/>
      <c r="G552" s="1092"/>
      <c r="H552" s="2192"/>
      <c r="I552" s="1343"/>
      <c r="J552" s="1263"/>
      <c r="K552" s="2192"/>
      <c r="L552" s="906"/>
      <c r="M552" s="1033"/>
      <c r="N552" s="1026"/>
      <c r="O552" s="2316"/>
      <c r="P552" s="2316"/>
      <c r="AH552" s="2323">
        <v>0</v>
      </c>
    </row>
    <row s="62286" customFormat="1" customHeight="1" ht="14.25">
      <c r="A553" s="2472" t="s">
        <v>240</v>
      </c>
      <c r="B553" s="2472" t="s">
        <v>241</v>
      </c>
      <c r="C553" s="1061"/>
      <c r="D553" s="3154"/>
      <c r="E553" s="2896"/>
      <c r="F553" s="3075" t="str">
        <f>INDEX(PT_DIFFERENTIATION_VTAR,MATCH(A553,PT_DIFFERENTIATION_VTAR_ID,0))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553" s="3119" t="str">
        <f>INDEX(PT_DIFFERENTIATION_NTAR,MATCH(B553,PT_DIFFERENTIATION_NTAR_ID,0))</f>
        <v>Тарифы на горячую воду в открытых системах теплоснабжения (горячего водоснабжения) на территории Артемовского городского округа</v>
      </c>
      <c r="H553" s="2554"/>
      <c r="I553" s="9324">
        <v>45292</v>
      </c>
      <c r="J553" s="2465">
        <v>45657</v>
      </c>
      <c r="K553" s="2470">
        <v>7917.28</v>
      </c>
      <c r="L553" s="2554" t="s">
        <v>381</v>
      </c>
      <c r="M553" s="1033"/>
      <c r="N553" s="1026"/>
      <c r="O553" s="2316"/>
      <c r="P553" s="2316"/>
      <c r="AH553" s="2323">
        <v>0</v>
      </c>
    </row>
    <row s="62286" customFormat="1" customHeight="1" ht="14.25">
      <c r="A554" s="8094"/>
      <c r="B554" s="8094"/>
      <c r="C554" s="9344"/>
      <c r="D554" s="9345"/>
      <c r="E554" s="9346"/>
      <c r="F554" s="9346"/>
      <c r="G554" s="9346"/>
      <c r="H554" s="7448" t="s">
        <v>104</v>
      </c>
      <c r="I554" s="9324">
        <v>45658</v>
      </c>
      <c r="J554" s="9325">
        <v>46022</v>
      </c>
      <c r="K554" s="9364">
        <f>147.458422212899*K328</f>
        <v>16640.6829467257</v>
      </c>
      <c r="L554" s="7450" t="s">
        <v>381</v>
      </c>
      <c r="M554" s="7985"/>
      <c r="N554" s="9349"/>
      <c r="O554" s="8100"/>
      <c r="P554" s="8100"/>
      <c r="Q554" s="7330"/>
      <c r="R554" s="7330"/>
      <c r="S554" s="7330"/>
      <c r="T554" s="7330"/>
      <c r="U554" s="7330"/>
      <c r="V554" s="7330"/>
      <c r="W554" s="7330"/>
      <c r="X554" s="7330"/>
      <c r="Y554" s="7330"/>
      <c r="Z554" s="7330"/>
      <c r="AA554" s="7330"/>
      <c r="AB554" s="7330"/>
      <c r="AC554" s="7330"/>
      <c r="AD554" s="7330"/>
      <c r="AE554" s="7330"/>
      <c r="AF554" s="7330"/>
      <c r="AG554" s="7330"/>
      <c r="AH554" s="7330">
        <v>0</v>
      </c>
    </row>
    <row s="62286" customFormat="1" customHeight="1" ht="14.25">
      <c r="A555" s="8094"/>
      <c r="B555" s="8094"/>
      <c r="C555" s="9344"/>
      <c r="D555" s="9345"/>
      <c r="E555" s="9346"/>
      <c r="F555" s="9346"/>
      <c r="G555" s="9346"/>
      <c r="H555" s="7448" t="s">
        <v>104</v>
      </c>
      <c r="I555" s="9324">
        <v>46023</v>
      </c>
      <c r="J555" s="9325">
        <v>46387</v>
      </c>
      <c r="K555" s="9364">
        <f>117.276815716466*K329</f>
        <v>13077.5377205431</v>
      </c>
      <c r="L555" s="7450" t="s">
        <v>381</v>
      </c>
      <c r="M555" s="7985"/>
      <c r="N555" s="9349"/>
      <c r="O555" s="8100"/>
      <c r="P555" s="8100"/>
      <c r="Q555" s="7330"/>
      <c r="R555" s="7330"/>
      <c r="S555" s="7330"/>
      <c r="T555" s="7330"/>
      <c r="U555" s="7330"/>
      <c r="V555" s="7330"/>
      <c r="W555" s="7330"/>
      <c r="X555" s="7330"/>
      <c r="Y555" s="7330"/>
      <c r="Z555" s="7330"/>
      <c r="AA555" s="7330"/>
      <c r="AB555" s="7330"/>
      <c r="AC555" s="7330"/>
      <c r="AD555" s="7330"/>
      <c r="AE555" s="7330"/>
      <c r="AF555" s="7330"/>
      <c r="AG555" s="7330"/>
      <c r="AH555" s="7330">
        <v>0</v>
      </c>
    </row>
    <row s="62286" customFormat="1" customHeight="1" ht="14.25">
      <c r="A556" s="8094"/>
      <c r="B556" s="8094"/>
      <c r="C556" s="9344"/>
      <c r="D556" s="9345"/>
      <c r="E556" s="9346"/>
      <c r="F556" s="9346"/>
      <c r="G556" s="9346"/>
      <c r="H556" s="7448" t="s">
        <v>104</v>
      </c>
      <c r="I556" s="9324">
        <v>46388</v>
      </c>
      <c r="J556" s="9325">
        <v>46752</v>
      </c>
      <c r="K556" s="9364">
        <v>0</v>
      </c>
      <c r="L556" s="7450" t="s">
        <v>381</v>
      </c>
      <c r="M556" s="7985"/>
      <c r="N556" s="9349"/>
      <c r="O556" s="8100"/>
      <c r="P556" s="8100"/>
      <c r="Q556" s="7330"/>
      <c r="R556" s="7330"/>
      <c r="S556" s="7330"/>
      <c r="T556" s="7330"/>
      <c r="U556" s="7330"/>
      <c r="V556" s="7330"/>
      <c r="W556" s="7330"/>
      <c r="X556" s="7330"/>
      <c r="Y556" s="7330"/>
      <c r="Z556" s="7330"/>
      <c r="AA556" s="7330"/>
      <c r="AB556" s="7330"/>
      <c r="AC556" s="7330"/>
      <c r="AD556" s="7330"/>
      <c r="AE556" s="7330"/>
      <c r="AF556" s="7330"/>
      <c r="AG556" s="7330"/>
      <c r="AH556" s="7330">
        <v>0</v>
      </c>
    </row>
    <row s="62286" customFormat="1" customHeight="1" ht="14.25">
      <c r="A557" s="8094"/>
      <c r="B557" s="8094"/>
      <c r="C557" s="9344"/>
      <c r="D557" s="9345"/>
      <c r="E557" s="9346"/>
      <c r="F557" s="9346"/>
      <c r="G557" s="9346"/>
      <c r="H557" s="7448" t="s">
        <v>104</v>
      </c>
      <c r="I557" s="9324">
        <v>46753</v>
      </c>
      <c r="J557" s="9325">
        <v>47118</v>
      </c>
      <c r="K557" s="9364">
        <v>0</v>
      </c>
      <c r="L557" s="7450" t="s">
        <v>381</v>
      </c>
      <c r="M557" s="7985"/>
      <c r="N557" s="9349"/>
      <c r="O557" s="8100"/>
      <c r="P557" s="8100"/>
      <c r="Q557" s="7330"/>
      <c r="R557" s="7330"/>
      <c r="S557" s="7330"/>
      <c r="T557" s="7330"/>
      <c r="U557" s="7330"/>
      <c r="V557" s="7330"/>
      <c r="W557" s="7330"/>
      <c r="X557" s="7330"/>
      <c r="Y557" s="7330"/>
      <c r="Z557" s="7330"/>
      <c r="AA557" s="7330"/>
      <c r="AB557" s="7330"/>
      <c r="AC557" s="7330"/>
      <c r="AD557" s="7330"/>
      <c r="AE557" s="7330"/>
      <c r="AF557" s="7330"/>
      <c r="AG557" s="7330"/>
      <c r="AH557" s="7330">
        <v>0</v>
      </c>
    </row>
    <row s="62286" customFormat="1" customHeight="1" ht="18.75">
      <c r="A558" s="2472"/>
      <c r="B558" s="2472"/>
      <c r="C558" s="1061" t="s">
        <v>1219</v>
      </c>
      <c r="D558" s="3154"/>
      <c r="E558" s="2896"/>
      <c r="F558" s="3075"/>
      <c r="G558" s="3119"/>
      <c r="H558" s="2192"/>
      <c r="I558" s="1343" t="s">
        <v>1218</v>
      </c>
      <c r="J558" s="1263"/>
      <c r="K558" s="2192"/>
      <c r="L558" s="906"/>
      <c r="M558" s="1033"/>
      <c r="N558" s="1026"/>
      <c r="O558" s="2316"/>
      <c r="P558" s="2316"/>
      <c r="AH558" s="2323">
        <v>0</v>
      </c>
    </row>
    <row s="62286" customFormat="1" customHeight="1" ht="14.25">
      <c r="A559" s="8094" t="s">
        <v>240</v>
      </c>
      <c r="B559" s="8094" t="s">
        <v>246</v>
      </c>
      <c r="C559" s="9344"/>
      <c r="D559" s="9345"/>
      <c r="E559" s="9346"/>
      <c r="F559" s="9346"/>
      <c r="G559" s="9347" t="str">
        <f>INDEX(PT_DIFFERENTIATION_NTAR,MATCH(B559,PT_DIFFERENTIATION_NTAR_ID,0))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559" s="7450"/>
      <c r="I559" s="9324">
        <v>45292</v>
      </c>
      <c r="J559" s="9325">
        <v>45657</v>
      </c>
      <c r="K559" s="9364">
        <v>218004.32</v>
      </c>
      <c r="L559" s="7450" t="s">
        <v>381</v>
      </c>
      <c r="M559" s="7985"/>
      <c r="N559" s="9349"/>
      <c r="O559" s="8100"/>
      <c r="P559" s="8100"/>
      <c r="Q559" s="7330"/>
      <c r="R559" s="7330"/>
      <c r="S559" s="7330"/>
      <c r="T559" s="7330"/>
      <c r="U559" s="7330"/>
      <c r="V559" s="7330"/>
      <c r="W559" s="7330"/>
      <c r="X559" s="7330"/>
      <c r="Y559" s="7330"/>
      <c r="Z559" s="7330"/>
      <c r="AA559" s="7330"/>
      <c r="AB559" s="7330"/>
      <c r="AC559" s="7330"/>
      <c r="AD559" s="7330"/>
      <c r="AE559" s="7330"/>
      <c r="AF559" s="7330"/>
      <c r="AG559" s="7330"/>
      <c r="AH559" s="7330">
        <v>0</v>
      </c>
    </row>
    <row s="62286" customFormat="1" customHeight="1" ht="14.25">
      <c r="A560" s="8094"/>
      <c r="B560" s="8094"/>
      <c r="C560" s="9344"/>
      <c r="D560" s="9345"/>
      <c r="E560" s="9346"/>
      <c r="F560" s="9346"/>
      <c r="G560" s="9346"/>
      <c r="H560" s="7448" t="s">
        <v>104</v>
      </c>
      <c r="I560" s="9324">
        <v>45658</v>
      </c>
      <c r="J560" s="9325">
        <v>46022</v>
      </c>
      <c r="K560" s="9364">
        <f>86.6209059529758*K334</f>
        <v>736648.438077773</v>
      </c>
      <c r="L560" s="7450" t="s">
        <v>381</v>
      </c>
      <c r="M560" s="7985"/>
      <c r="N560" s="9349"/>
      <c r="O560" s="8100"/>
      <c r="P560" s="8100"/>
      <c r="Q560" s="7330"/>
      <c r="R560" s="7330"/>
      <c r="S560" s="7330"/>
      <c r="T560" s="7330"/>
      <c r="U560" s="7330"/>
      <c r="V560" s="7330"/>
      <c r="W560" s="7330"/>
      <c r="X560" s="7330"/>
      <c r="Y560" s="7330"/>
      <c r="Z560" s="7330"/>
      <c r="AA560" s="7330"/>
      <c r="AB560" s="7330"/>
      <c r="AC560" s="7330"/>
      <c r="AD560" s="7330"/>
      <c r="AE560" s="7330"/>
      <c r="AF560" s="7330"/>
      <c r="AG560" s="7330"/>
      <c r="AH560" s="7330">
        <v>0</v>
      </c>
    </row>
    <row s="62286" customFormat="1" customHeight="1" ht="14.25">
      <c r="A561" s="8094"/>
      <c r="B561" s="8094"/>
      <c r="C561" s="9344"/>
      <c r="D561" s="9345"/>
      <c r="E561" s="9346"/>
      <c r="F561" s="9346"/>
      <c r="G561" s="9346"/>
      <c r="H561" s="7448" t="s">
        <v>104</v>
      </c>
      <c r="I561" s="9324">
        <v>46023</v>
      </c>
      <c r="J561" s="9325">
        <v>46387</v>
      </c>
      <c r="K561" s="9364">
        <f>105.314007226146*K335</f>
        <v>892522.520420648</v>
      </c>
      <c r="L561" s="7450" t="s">
        <v>381</v>
      </c>
      <c r="M561" s="7985"/>
      <c r="N561" s="9349"/>
      <c r="O561" s="8100"/>
      <c r="P561" s="8100"/>
      <c r="Q561" s="7330"/>
      <c r="R561" s="7330"/>
      <c r="S561" s="7330"/>
      <c r="T561" s="7330"/>
      <c r="U561" s="7330"/>
      <c r="V561" s="7330"/>
      <c r="W561" s="7330"/>
      <c r="X561" s="7330"/>
      <c r="Y561" s="7330"/>
      <c r="Z561" s="7330"/>
      <c r="AA561" s="7330"/>
      <c r="AB561" s="7330"/>
      <c r="AC561" s="7330"/>
      <c r="AD561" s="7330"/>
      <c r="AE561" s="7330"/>
      <c r="AF561" s="7330"/>
      <c r="AG561" s="7330"/>
      <c r="AH561" s="7330">
        <v>0</v>
      </c>
    </row>
    <row s="62286" customFormat="1" customHeight="1" ht="14.25">
      <c r="A562" s="8094"/>
      <c r="B562" s="8094"/>
      <c r="C562" s="9344"/>
      <c r="D562" s="9345"/>
      <c r="E562" s="9346"/>
      <c r="F562" s="9346"/>
      <c r="G562" s="9346"/>
      <c r="H562" s="7448" t="s">
        <v>104</v>
      </c>
      <c r="I562" s="9324">
        <v>46388</v>
      </c>
      <c r="J562" s="9325">
        <v>46752</v>
      </c>
      <c r="K562" s="9364">
        <v>0</v>
      </c>
      <c r="L562" s="7450" t="s">
        <v>381</v>
      </c>
      <c r="M562" s="7985"/>
      <c r="N562" s="9349"/>
      <c r="O562" s="8100"/>
      <c r="P562" s="8100"/>
      <c r="Q562" s="7330"/>
      <c r="R562" s="7330"/>
      <c r="S562" s="7330"/>
      <c r="T562" s="7330"/>
      <c r="U562" s="7330"/>
      <c r="V562" s="7330"/>
      <c r="W562" s="7330"/>
      <c r="X562" s="7330"/>
      <c r="Y562" s="7330"/>
      <c r="Z562" s="7330"/>
      <c r="AA562" s="7330"/>
      <c r="AB562" s="7330"/>
      <c r="AC562" s="7330"/>
      <c r="AD562" s="7330"/>
      <c r="AE562" s="7330"/>
      <c r="AF562" s="7330"/>
      <c r="AG562" s="7330"/>
      <c r="AH562" s="7330">
        <v>0</v>
      </c>
    </row>
    <row s="62286" customFormat="1" customHeight="1" ht="14.25">
      <c r="A563" s="8094"/>
      <c r="B563" s="8094"/>
      <c r="C563" s="9344"/>
      <c r="D563" s="9345"/>
      <c r="E563" s="9346"/>
      <c r="F563" s="9346"/>
      <c r="G563" s="9346"/>
      <c r="H563" s="7448" t="s">
        <v>104</v>
      </c>
      <c r="I563" s="9324">
        <v>46753</v>
      </c>
      <c r="J563" s="9325">
        <v>47118</v>
      </c>
      <c r="K563" s="9364">
        <v>0</v>
      </c>
      <c r="L563" s="7450" t="s">
        <v>381</v>
      </c>
      <c r="M563" s="7985"/>
      <c r="N563" s="9349"/>
      <c r="O563" s="8100"/>
      <c r="P563" s="8100"/>
      <c r="Q563" s="7330"/>
      <c r="R563" s="7330"/>
      <c r="S563" s="7330"/>
      <c r="T563" s="7330"/>
      <c r="U563" s="7330"/>
      <c r="V563" s="7330"/>
      <c r="W563" s="7330"/>
      <c r="X563" s="7330"/>
      <c r="Y563" s="7330"/>
      <c r="Z563" s="7330"/>
      <c r="AA563" s="7330"/>
      <c r="AB563" s="7330"/>
      <c r="AC563" s="7330"/>
      <c r="AD563" s="7330"/>
      <c r="AE563" s="7330"/>
      <c r="AF563" s="7330"/>
      <c r="AG563" s="7330"/>
      <c r="AH563" s="7330">
        <v>0</v>
      </c>
    </row>
    <row s="62286" customFormat="1" customHeight="1" ht="18.75">
      <c r="A564" s="8094"/>
      <c r="B564" s="8094"/>
      <c r="C564" s="9344" t="s">
        <v>1219</v>
      </c>
      <c r="D564" s="9345"/>
      <c r="E564" s="9346"/>
      <c r="F564" s="9346"/>
      <c r="G564" s="9347"/>
      <c r="H564" s="9437"/>
      <c r="I564" s="9438" t="s">
        <v>1218</v>
      </c>
      <c r="J564" s="9439"/>
      <c r="K564" s="9440"/>
      <c r="L564" s="9441"/>
      <c r="M564" s="7985"/>
      <c r="N564" s="9349"/>
      <c r="O564" s="8100"/>
      <c r="P564" s="8100"/>
      <c r="Q564" s="7330"/>
      <c r="R564" s="7330"/>
      <c r="S564" s="7330"/>
      <c r="T564" s="7330"/>
      <c r="U564" s="7330"/>
      <c r="V564" s="7330"/>
      <c r="W564" s="7330"/>
      <c r="X564" s="7330"/>
      <c r="Y564" s="7330"/>
      <c r="Z564" s="7330"/>
      <c r="AA564" s="7330"/>
      <c r="AB564" s="7330"/>
      <c r="AC564" s="7330"/>
      <c r="AD564" s="7330"/>
      <c r="AE564" s="7330"/>
      <c r="AF564" s="7330"/>
      <c r="AG564" s="7330"/>
      <c r="AH564" s="7330">
        <v>0</v>
      </c>
    </row>
    <row s="62286" customFormat="1" customHeight="1" ht="14.25">
      <c r="A565" s="8094" t="s">
        <v>240</v>
      </c>
      <c r="B565" s="8094" t="s">
        <v>251</v>
      </c>
      <c r="C565" s="9344"/>
      <c r="D565" s="9345"/>
      <c r="E565" s="9346"/>
      <c r="F565" s="9346"/>
      <c r="G565" s="9347" t="str">
        <f>INDEX(PT_DIFFERENTIATION_NTAR,MATCH(B565,PT_DIFFERENTIATION_NTAR_ID,0))</f>
        <v>Тарифы на горячую воду в открытых системах теплоснабжения (горячего водоснабжения) на территории Партизанского городского округа</v>
      </c>
      <c r="H565" s="7450"/>
      <c r="I565" s="9324">
        <v>45292</v>
      </c>
      <c r="J565" s="9325">
        <v>45657</v>
      </c>
      <c r="K565" s="9364">
        <v>2451.77</v>
      </c>
      <c r="L565" s="7450" t="s">
        <v>381</v>
      </c>
      <c r="M565" s="7985"/>
      <c r="N565" s="9349"/>
      <c r="O565" s="8100"/>
      <c r="P565" s="8100"/>
      <c r="Q565" s="7330"/>
      <c r="R565" s="7330"/>
      <c r="S565" s="7330"/>
      <c r="T565" s="7330"/>
      <c r="U565" s="7330"/>
      <c r="V565" s="7330"/>
      <c r="W565" s="7330"/>
      <c r="X565" s="7330"/>
      <c r="Y565" s="7330"/>
      <c r="Z565" s="7330"/>
      <c r="AA565" s="7330"/>
      <c r="AB565" s="7330"/>
      <c r="AC565" s="7330"/>
      <c r="AD565" s="7330"/>
      <c r="AE565" s="7330"/>
      <c r="AF565" s="7330"/>
      <c r="AG565" s="7330"/>
      <c r="AH565" s="7330">
        <v>0</v>
      </c>
    </row>
    <row s="62286" customFormat="1" customHeight="1" ht="14.25">
      <c r="A566" s="8094"/>
      <c r="B566" s="8094"/>
      <c r="C566" s="9344"/>
      <c r="D566" s="9345"/>
      <c r="E566" s="9346"/>
      <c r="F566" s="9346"/>
      <c r="G566" s="9346"/>
      <c r="H566" s="7448" t="s">
        <v>104</v>
      </c>
      <c r="I566" s="9324">
        <v>45658</v>
      </c>
      <c r="J566" s="9325">
        <v>46022</v>
      </c>
      <c r="K566" s="9364">
        <f>411.907347319503*K340</f>
        <v>8320.52841585396</v>
      </c>
      <c r="L566" s="7450" t="s">
        <v>381</v>
      </c>
      <c r="M566" s="7985"/>
      <c r="N566" s="9349"/>
      <c r="O566" s="8100"/>
      <c r="P566" s="8100"/>
      <c r="Q566" s="7330"/>
      <c r="R566" s="7330"/>
      <c r="S566" s="7330"/>
      <c r="T566" s="7330"/>
      <c r="U566" s="7330"/>
      <c r="V566" s="7330"/>
      <c r="W566" s="7330"/>
      <c r="X566" s="7330"/>
      <c r="Y566" s="7330"/>
      <c r="Z566" s="7330"/>
      <c r="AA566" s="7330"/>
      <c r="AB566" s="7330"/>
      <c r="AC566" s="7330"/>
      <c r="AD566" s="7330"/>
      <c r="AE566" s="7330"/>
      <c r="AF566" s="7330"/>
      <c r="AG566" s="7330"/>
      <c r="AH566" s="7330">
        <v>0</v>
      </c>
    </row>
    <row s="62286" customFormat="1" customHeight="1" ht="14.25">
      <c r="A567" s="8094"/>
      <c r="B567" s="8094"/>
      <c r="C567" s="9344"/>
      <c r="D567" s="9345"/>
      <c r="E567" s="9346"/>
      <c r="F567" s="9346"/>
      <c r="G567" s="9346"/>
      <c r="H567" s="7448" t="s">
        <v>104</v>
      </c>
      <c r="I567" s="9324">
        <v>46023</v>
      </c>
      <c r="J567" s="9325">
        <v>46387</v>
      </c>
      <c r="K567" s="9364">
        <f>306.138403519881*K341</f>
        <v>6517.68661093827</v>
      </c>
      <c r="L567" s="7450" t="s">
        <v>381</v>
      </c>
      <c r="M567" s="7985"/>
      <c r="N567" s="9349"/>
      <c r="O567" s="8100"/>
      <c r="P567" s="8100"/>
      <c r="Q567" s="7330"/>
      <c r="R567" s="7330"/>
      <c r="S567" s="7330"/>
      <c r="T567" s="7330"/>
      <c r="U567" s="7330"/>
      <c r="V567" s="7330"/>
      <c r="W567" s="7330"/>
      <c r="X567" s="7330"/>
      <c r="Y567" s="7330"/>
      <c r="Z567" s="7330"/>
      <c r="AA567" s="7330"/>
      <c r="AB567" s="7330"/>
      <c r="AC567" s="7330"/>
      <c r="AD567" s="7330"/>
      <c r="AE567" s="7330"/>
      <c r="AF567" s="7330"/>
      <c r="AG567" s="7330"/>
      <c r="AH567" s="7330">
        <v>0</v>
      </c>
    </row>
    <row s="62286" customFormat="1" customHeight="1" ht="14.25">
      <c r="A568" s="8094"/>
      <c r="B568" s="8094"/>
      <c r="C568" s="9344"/>
      <c r="D568" s="9345"/>
      <c r="E568" s="9346"/>
      <c r="F568" s="9346"/>
      <c r="G568" s="9346"/>
      <c r="H568" s="7448" t="s">
        <v>104</v>
      </c>
      <c r="I568" s="9324">
        <v>46388</v>
      </c>
      <c r="J568" s="9325">
        <v>46752</v>
      </c>
      <c r="K568" s="9364">
        <v>0</v>
      </c>
      <c r="L568" s="7450" t="s">
        <v>381</v>
      </c>
      <c r="M568" s="7985"/>
      <c r="N568" s="9349"/>
      <c r="O568" s="8100"/>
      <c r="P568" s="8100"/>
      <c r="Q568" s="7330"/>
      <c r="R568" s="7330"/>
      <c r="S568" s="7330"/>
      <c r="T568" s="7330"/>
      <c r="U568" s="7330"/>
      <c r="V568" s="7330"/>
      <c r="W568" s="7330"/>
      <c r="X568" s="7330"/>
      <c r="Y568" s="7330"/>
      <c r="Z568" s="7330"/>
      <c r="AA568" s="7330"/>
      <c r="AB568" s="7330"/>
      <c r="AC568" s="7330"/>
      <c r="AD568" s="7330"/>
      <c r="AE568" s="7330"/>
      <c r="AF568" s="7330"/>
      <c r="AG568" s="7330"/>
      <c r="AH568" s="7330">
        <v>0</v>
      </c>
    </row>
    <row s="62286" customFormat="1" customHeight="1" ht="14.25">
      <c r="A569" s="8094"/>
      <c r="B569" s="8094"/>
      <c r="C569" s="9344"/>
      <c r="D569" s="9345"/>
      <c r="E569" s="9346"/>
      <c r="F569" s="9346"/>
      <c r="G569" s="9346"/>
      <c r="H569" s="7448" t="s">
        <v>104</v>
      </c>
      <c r="I569" s="9324">
        <v>46753</v>
      </c>
      <c r="J569" s="9325">
        <v>47118</v>
      </c>
      <c r="K569" s="9364">
        <v>0</v>
      </c>
      <c r="L569" s="7450" t="s">
        <v>381</v>
      </c>
      <c r="M569" s="7985"/>
      <c r="N569" s="9349"/>
      <c r="O569" s="8100"/>
      <c r="P569" s="8100"/>
      <c r="Q569" s="7330"/>
      <c r="R569" s="7330"/>
      <c r="S569" s="7330"/>
      <c r="T569" s="7330"/>
      <c r="U569" s="7330"/>
      <c r="V569" s="7330"/>
      <c r="W569" s="7330"/>
      <c r="X569" s="7330"/>
      <c r="Y569" s="7330"/>
      <c r="Z569" s="7330"/>
      <c r="AA569" s="7330"/>
      <c r="AB569" s="7330"/>
      <c r="AC569" s="7330"/>
      <c r="AD569" s="7330"/>
      <c r="AE569" s="7330"/>
      <c r="AF569" s="7330"/>
      <c r="AG569" s="7330"/>
      <c r="AH569" s="7330">
        <v>0</v>
      </c>
    </row>
    <row s="62286" customFormat="1" customHeight="1" ht="18.75">
      <c r="A570" s="8094"/>
      <c r="B570" s="8094"/>
      <c r="C570" s="9344" t="s">
        <v>1219</v>
      </c>
      <c r="D570" s="9345"/>
      <c r="E570" s="9346"/>
      <c r="F570" s="9346"/>
      <c r="G570" s="9347"/>
      <c r="H570" s="9442"/>
      <c r="I570" s="9443" t="s">
        <v>1218</v>
      </c>
      <c r="J570" s="9444"/>
      <c r="K570" s="9445"/>
      <c r="L570" s="9446"/>
      <c r="M570" s="7985"/>
      <c r="N570" s="9349"/>
      <c r="O570" s="8100"/>
      <c r="P570" s="8100"/>
      <c r="Q570" s="7330"/>
      <c r="R570" s="7330"/>
      <c r="S570" s="7330"/>
      <c r="T570" s="7330"/>
      <c r="U570" s="7330"/>
      <c r="V570" s="7330"/>
      <c r="W570" s="7330"/>
      <c r="X570" s="7330"/>
      <c r="Y570" s="7330"/>
      <c r="Z570" s="7330"/>
      <c r="AA570" s="7330"/>
      <c r="AB570" s="7330"/>
      <c r="AC570" s="7330"/>
      <c r="AD570" s="7330"/>
      <c r="AE570" s="7330"/>
      <c r="AF570" s="7330"/>
      <c r="AG570" s="7330"/>
      <c r="AH570" s="7330">
        <v>0</v>
      </c>
    </row>
    <row s="62286" customFormat="1" customHeight="1" ht="0.75">
      <c r="A571" s="2472"/>
      <c r="B571" s="2472"/>
      <c r="C571" s="1061" t="s">
        <v>1228</v>
      </c>
      <c r="D571" s="3154"/>
      <c r="E571" s="2896"/>
      <c r="F571" s="3075"/>
      <c r="G571" s="1092"/>
      <c r="H571" s="2192"/>
      <c r="I571" s="1343"/>
      <c r="J571" s="1263"/>
      <c r="K571" s="2192"/>
      <c r="L571" s="906"/>
      <c r="M571" s="1033"/>
      <c r="N571" s="1026"/>
      <c r="O571" s="2316"/>
      <c r="P571" s="2316"/>
      <c r="AH571" s="2323">
        <v>0</v>
      </c>
    </row>
    <row s="62286" customFormat="1" customHeight="1" ht="18.75" hidden="1">
      <c r="A572" s="2472" t="s">
        <v>256</v>
      </c>
      <c r="B572" s="2472" t="s">
        <v>257</v>
      </c>
      <c r="C572" s="1061"/>
      <c r="D572" s="3154"/>
      <c r="E572" s="2896"/>
      <c r="F572" s="3075" t="str">
        <f>INDEX(PT_DIFFERENTIATION_VTAR,MATCH(A572,PT_DIFFERENTIATION_VTAR_ID,0))</f>
        <v>Тарифы на услуги по передаче тепловой энергии</v>
      </c>
      <c r="G572" s="3119" t="str">
        <f>INDEX(PT_DIFFERENTIATION_NTAR,MATCH(B572,PT_DIFFERENTIATION_NTAR_ID,0))</f>
        <v/>
      </c>
      <c r="H572" s="2554"/>
      <c r="I572" s="2431"/>
      <c r="J572" s="2465"/>
      <c r="K572" s="2470"/>
      <c r="L572" s="2554" t="s">
        <v>381</v>
      </c>
      <c r="M572" s="1033"/>
      <c r="N572" s="1026"/>
      <c r="O572" s="2316"/>
      <c r="P572" s="2316"/>
      <c r="AH572" s="2323">
        <v>0</v>
      </c>
    </row>
    <row s="62286" customFormat="1" customHeight="1" ht="18.75" hidden="1">
      <c r="A573" s="2472"/>
      <c r="B573" s="2472"/>
      <c r="C573" s="1061" t="s">
        <v>1219</v>
      </c>
      <c r="D573" s="3154"/>
      <c r="E573" s="2896"/>
      <c r="F573" s="3075"/>
      <c r="G573" s="3119"/>
      <c r="H573" s="2192"/>
      <c r="I573" s="1343" t="s">
        <v>1218</v>
      </c>
      <c r="J573" s="1263"/>
      <c r="K573" s="2192"/>
      <c r="L573" s="906"/>
      <c r="M573" s="1033"/>
      <c r="N573" s="1026"/>
      <c r="O573" s="2316"/>
      <c r="P573" s="2316"/>
      <c r="AH573" s="2323">
        <v>0</v>
      </c>
    </row>
    <row s="62286" customFormat="1" customHeight="1" ht="0.75" hidden="1">
      <c r="A574" s="2472"/>
      <c r="B574" s="2472"/>
      <c r="C574" s="1061" t="s">
        <v>1228</v>
      </c>
      <c r="D574" s="3154"/>
      <c r="E574" s="2896"/>
      <c r="F574" s="3075"/>
      <c r="G574" s="1092"/>
      <c r="H574" s="2192"/>
      <c r="I574" s="1343"/>
      <c r="J574" s="1263"/>
      <c r="K574" s="2192"/>
      <c r="L574" s="906"/>
      <c r="M574" s="1033"/>
      <c r="N574" s="1026"/>
      <c r="O574" s="2316"/>
      <c r="P574" s="2316"/>
      <c r="AH574" s="2323">
        <v>0</v>
      </c>
    </row>
    <row s="62286" customFormat="1" customHeight="1" ht="18.75" hidden="1">
      <c r="A575" s="2472" t="s">
        <v>262</v>
      </c>
      <c r="B575" s="2472" t="s">
        <v>263</v>
      </c>
      <c r="C575" s="1061"/>
      <c r="D575" s="3154"/>
      <c r="E575" s="2896"/>
      <c r="F575" s="3075" t="str">
        <f>INDEX(PT_DIFFERENTIATION_VTAR,MATCH(A575,PT_DIFFERENTIATION_VTAR_ID,0))</f>
        <v>Тарифы на услуги по передаче теплоносителя</v>
      </c>
      <c r="G575" s="3119" t="str">
        <f>INDEX(PT_DIFFERENTIATION_NTAR,MATCH(B575,PT_DIFFERENTIATION_NTAR_ID,0))</f>
        <v/>
      </c>
      <c r="H575" s="2554"/>
      <c r="I575" s="2431"/>
      <c r="J575" s="2465"/>
      <c r="K575" s="2470"/>
      <c r="L575" s="2554" t="s">
        <v>381</v>
      </c>
      <c r="M575" s="1033"/>
      <c r="N575" s="1026"/>
      <c r="O575" s="2316"/>
      <c r="P575" s="2316"/>
      <c r="AH575" s="2323">
        <v>0</v>
      </c>
    </row>
    <row s="62286" customFormat="1" customHeight="1" ht="18.75" hidden="1">
      <c r="A576" s="2472"/>
      <c r="B576" s="2472"/>
      <c r="C576" s="1061" t="s">
        <v>1219</v>
      </c>
      <c r="D576" s="3154"/>
      <c r="E576" s="2896"/>
      <c r="F576" s="3075"/>
      <c r="G576" s="3119"/>
      <c r="H576" s="2192"/>
      <c r="I576" s="1343" t="s">
        <v>1218</v>
      </c>
      <c r="J576" s="1263"/>
      <c r="K576" s="2192"/>
      <c r="L576" s="906"/>
      <c r="M576" s="1033"/>
      <c r="N576" s="1026"/>
      <c r="O576" s="2316"/>
      <c r="P576" s="2316"/>
      <c r="AH576" s="2323">
        <v>0</v>
      </c>
    </row>
    <row s="62286" customFormat="1" customHeight="1" ht="0.75" hidden="1">
      <c r="A577" s="2472"/>
      <c r="B577" s="2472"/>
      <c r="C577" s="1061" t="s">
        <v>1228</v>
      </c>
      <c r="D577" s="3154"/>
      <c r="E577" s="2896"/>
      <c r="F577" s="3075"/>
      <c r="G577" s="1092"/>
      <c r="H577" s="2192"/>
      <c r="I577" s="1343"/>
      <c r="J577" s="1263"/>
      <c r="K577" s="2192"/>
      <c r="L577" s="906"/>
      <c r="M577" s="1033"/>
      <c r="N577" s="1026"/>
      <c r="O577" s="2316"/>
      <c r="P577" s="2316"/>
      <c r="AH577" s="2323">
        <v>0</v>
      </c>
    </row>
    <row s="62286" customFormat="1" customHeight="1" ht="18.75" hidden="1">
      <c r="A578" s="2472" t="s">
        <v>268</v>
      </c>
      <c r="B578" s="2472" t="s">
        <v>269</v>
      </c>
      <c r="C578" s="1061"/>
      <c r="D578" s="3154"/>
      <c r="E578" s="2896"/>
      <c r="F578" s="3075" t="str">
        <f>INDEX(PT_DIFFERENTIATION_VTAR,MATCH(A578,PT_DIFFERENTIATION_VTAR_ID,0))</f>
        <v>Плата за услуги по поддержанию резервной тепловой мощности при отсутствии потребления тепловой энергии</v>
      </c>
      <c r="G578" s="3119" t="str">
        <f>INDEX(PT_DIFFERENTIATION_NTAR,MATCH(B578,PT_DIFFERENTIATION_NTAR_ID,0))</f>
        <v/>
      </c>
      <c r="H578" s="2554"/>
      <c r="I578" s="2431"/>
      <c r="J578" s="2465"/>
      <c r="K578" s="2470"/>
      <c r="L578" s="2554" t="s">
        <v>381</v>
      </c>
      <c r="M578" s="1033"/>
      <c r="N578" s="1026"/>
      <c r="O578" s="2316"/>
      <c r="P578" s="2316"/>
      <c r="AH578" s="2323">
        <v>0</v>
      </c>
    </row>
    <row s="62286" customFormat="1" customHeight="1" ht="18.75" hidden="1">
      <c r="A579" s="2472"/>
      <c r="B579" s="2472"/>
      <c r="C579" s="1061" t="s">
        <v>1219</v>
      </c>
      <c r="D579" s="3154"/>
      <c r="E579" s="2896"/>
      <c r="F579" s="3075"/>
      <c r="G579" s="3119"/>
      <c r="H579" s="2192"/>
      <c r="I579" s="1343" t="s">
        <v>1218</v>
      </c>
      <c r="J579" s="1263"/>
      <c r="K579" s="2192"/>
      <c r="L579" s="906"/>
      <c r="M579" s="1033"/>
      <c r="N579" s="1026"/>
      <c r="O579" s="2316"/>
      <c r="P579" s="2316"/>
      <c r="AH579" s="2323">
        <v>0</v>
      </c>
    </row>
    <row s="62286" customFormat="1" customHeight="1" ht="0.75" hidden="1">
      <c r="A580" s="2472"/>
      <c r="B580" s="2472"/>
      <c r="C580" s="1061" t="s">
        <v>1228</v>
      </c>
      <c r="D580" s="3154"/>
      <c r="E580" s="2896"/>
      <c r="F580" s="3075"/>
      <c r="G580" s="1092"/>
      <c r="H580" s="2192"/>
      <c r="I580" s="1343"/>
      <c r="J580" s="1263"/>
      <c r="K580" s="2192"/>
      <c r="L580" s="906"/>
      <c r="M580" s="1033"/>
      <c r="N580" s="1026"/>
      <c r="O580" s="2316"/>
      <c r="P580" s="2316"/>
      <c r="AH580" s="2323">
        <v>0</v>
      </c>
    </row>
    <row s="62286" customFormat="1" customHeight="1" ht="18.75" hidden="1">
      <c r="A581" s="2472" t="s">
        <v>274</v>
      </c>
      <c r="B581" s="2472" t="s">
        <v>275</v>
      </c>
      <c r="C581" s="1061"/>
      <c r="D581" s="3154"/>
      <c r="E581" s="2896"/>
      <c r="F581" s="3075" t="str">
        <f>INDEX(PT_DIFFERENTIATION_VTAR,MATCH(A581,PT_DIFFERENTIATION_VTAR_ID,0))</f>
        <v>Плата за подключение (технологическое присоединение) к системе теплоснабжения</v>
      </c>
      <c r="G581" s="3119" t="str">
        <f>INDEX(PT_DIFFERENTIATION_NTAR,MATCH(B581,PT_DIFFERENTIATION_NTAR_ID,0))</f>
        <v/>
      </c>
      <c r="H581" s="2554"/>
      <c r="I581" s="2431"/>
      <c r="J581" s="2465"/>
      <c r="K581" s="2470"/>
      <c r="L581" s="2554" t="s">
        <v>381</v>
      </c>
      <c r="M581" s="1033"/>
      <c r="N581" s="1026"/>
      <c r="O581" s="2316"/>
      <c r="P581" s="2316"/>
      <c r="AH581" s="2323">
        <v>0</v>
      </c>
    </row>
    <row s="62286" customFormat="1" customHeight="1" ht="18.75" hidden="1">
      <c r="A582" s="2472"/>
      <c r="B582" s="2472"/>
      <c r="C582" s="1061" t="s">
        <v>1219</v>
      </c>
      <c r="D582" s="3154"/>
      <c r="E582" s="2896"/>
      <c r="F582" s="3075"/>
      <c r="G582" s="3119"/>
      <c r="H582" s="2192"/>
      <c r="I582" s="1343" t="s">
        <v>1218</v>
      </c>
      <c r="J582" s="1263"/>
      <c r="K582" s="2192"/>
      <c r="L582" s="906"/>
      <c r="M582" s="1033"/>
      <c r="N582" s="1026"/>
      <c r="O582" s="2316"/>
      <c r="P582" s="2316"/>
      <c r="AH582" s="2323">
        <v>0</v>
      </c>
    </row>
    <row s="62286" customFormat="1" customHeight="1" ht="0.75" hidden="1">
      <c r="A583" s="2472"/>
      <c r="B583" s="2472"/>
      <c r="C583" s="1061" t="s">
        <v>1228</v>
      </c>
      <c r="D583" s="3154"/>
      <c r="E583" s="2896"/>
      <c r="F583" s="3075"/>
      <c r="G583" s="1092"/>
      <c r="H583" s="2192"/>
      <c r="I583" s="1343"/>
      <c r="J583" s="1263"/>
      <c r="K583" s="2192"/>
      <c r="L583" s="906"/>
      <c r="M583" s="1033"/>
      <c r="N583" s="1026"/>
      <c r="O583" s="2316"/>
      <c r="P583" s="2316"/>
      <c r="AH583" s="2323">
        <v>0</v>
      </c>
    </row>
    <row s="62286" customFormat="1" customHeight="1" ht="18.75" hidden="1">
      <c r="A584" s="2472" t="s">
        <v>280</v>
      </c>
      <c r="B584" s="2472" t="s">
        <v>281</v>
      </c>
      <c r="C584" s="1061"/>
      <c r="D584" s="3154"/>
      <c r="E584" s="2896"/>
      <c r="F584" s="3075" t="str">
        <f>INDEX(PT_DIFFERENTIATION_VTAR,MATCH(A584,PT_DIFFERENTIATION_VTAR_ID,0))</f>
        <v>Плата за подключение (технологическое присоединение) к системе теплоснабжения (индивидуальная)</v>
      </c>
      <c r="G584" s="3119" t="str">
        <f>INDEX(PT_DIFFERENTIATION_NTAR,MATCH(B584,PT_DIFFERENTIATION_NTAR_ID,0))</f>
        <v/>
      </c>
      <c r="H584" s="2681"/>
      <c r="I584" s="2431"/>
      <c r="J584" s="2465"/>
      <c r="K584" s="2470"/>
      <c r="L584" s="2681" t="s">
        <v>381</v>
      </c>
      <c r="M584" s="1033"/>
      <c r="N584" s="1026"/>
      <c r="O584" s="2316"/>
      <c r="P584" s="2316"/>
      <c r="AH584" s="2323">
        <v>0</v>
      </c>
    </row>
    <row s="62286" customFormat="1" customHeight="1" ht="18.75" hidden="1">
      <c r="A585" s="2472"/>
      <c r="B585" s="2472"/>
      <c r="C585" s="1061" t="s">
        <v>1219</v>
      </c>
      <c r="D585" s="3154"/>
      <c r="E585" s="2896"/>
      <c r="F585" s="3075"/>
      <c r="G585" s="3119"/>
      <c r="H585" s="2192"/>
      <c r="I585" s="1343" t="s">
        <v>1218</v>
      </c>
      <c r="J585" s="1263"/>
      <c r="K585" s="2192"/>
      <c r="L585" s="906"/>
      <c r="M585" s="1033"/>
      <c r="N585" s="1026"/>
      <c r="O585" s="2316"/>
      <c r="P585" s="2316"/>
      <c r="AH585" s="2323">
        <v>0</v>
      </c>
    </row>
    <row s="62286" customFormat="1" customHeight="1" ht="0.75" hidden="1">
      <c r="A586" s="2472"/>
      <c r="B586" s="2472"/>
      <c r="C586" s="1061" t="s">
        <v>1228</v>
      </c>
      <c r="D586" s="3154"/>
      <c r="E586" s="2896"/>
      <c r="F586" s="3075"/>
      <c r="G586" s="1092"/>
      <c r="H586" s="2192"/>
      <c r="I586" s="1343"/>
      <c r="J586" s="1263"/>
      <c r="K586" s="2192"/>
      <c r="L586" s="906"/>
      <c r="M586" s="1033"/>
      <c r="N586" s="1026"/>
      <c r="O586" s="2316"/>
      <c r="P586" s="2316"/>
      <c r="AH586" s="2323">
        <v>0</v>
      </c>
    </row>
    <row s="62286" customFormat="1" customHeight="1" ht="18.75" hidden="1">
      <c r="A587" s="2472" t="s">
        <v>300</v>
      </c>
      <c r="B587" s="2472" t="s">
        <v>301</v>
      </c>
      <c r="C587" s="1061"/>
      <c r="D587" s="3154"/>
      <c r="E587" s="2896"/>
      <c r="F587" s="3075" t="str">
        <f>INDEX(PT_DIFFERENTIATION_VTAR,MATCH(A587,PT_DIFFERENTIATION_VTAR_ID,0))</f>
        <v>Тариф на питьевую воду (питьевое водоснабжение)</v>
      </c>
      <c r="G587" s="3119" t="str">
        <f>INDEX(PT_DIFFERENTIATION_NTAR,MATCH(B587,PT_DIFFERENTIATION_NTAR_ID,0))</f>
        <v/>
      </c>
      <c r="H587" s="2554"/>
      <c r="I587" s="2431"/>
      <c r="J587" s="2465"/>
      <c r="K587" s="2470"/>
      <c r="L587" s="2554" t="s">
        <v>381</v>
      </c>
      <c r="M587" s="1033"/>
      <c r="N587" s="1026"/>
      <c r="O587" s="2316"/>
      <c r="P587" s="2316"/>
      <c r="AH587" s="2323">
        <v>0</v>
      </c>
    </row>
    <row s="62286" customFormat="1" customHeight="1" ht="18.75" hidden="1">
      <c r="A588" s="2472"/>
      <c r="B588" s="2472"/>
      <c r="C588" s="1061" t="s">
        <v>1219</v>
      </c>
      <c r="D588" s="3154"/>
      <c r="E588" s="2896"/>
      <c r="F588" s="3075"/>
      <c r="G588" s="3119"/>
      <c r="H588" s="2192"/>
      <c r="I588" s="1343" t="s">
        <v>1218</v>
      </c>
      <c r="J588" s="1263"/>
      <c r="K588" s="2192"/>
      <c r="L588" s="906"/>
      <c r="M588" s="1033"/>
      <c r="N588" s="1026"/>
      <c r="O588" s="2316"/>
      <c r="P588" s="2316"/>
      <c r="AH588" s="2323">
        <v>0</v>
      </c>
    </row>
    <row s="62286" customFormat="1" customHeight="1" ht="0.75" hidden="1">
      <c r="A589" s="2472"/>
      <c r="B589" s="2472"/>
      <c r="C589" s="1061" t="s">
        <v>1228</v>
      </c>
      <c r="D589" s="3154"/>
      <c r="E589" s="2896"/>
      <c r="F589" s="3075"/>
      <c r="G589" s="1092"/>
      <c r="H589" s="2192"/>
      <c r="I589" s="1343"/>
      <c r="J589" s="1263"/>
      <c r="K589" s="2192"/>
      <c r="L589" s="906"/>
      <c r="M589" s="1033"/>
      <c r="N589" s="1026"/>
      <c r="O589" s="2316"/>
      <c r="P589" s="2316"/>
      <c r="AH589" s="2323">
        <v>0</v>
      </c>
    </row>
    <row s="62286" customFormat="1" customHeight="1" ht="18.75" hidden="1">
      <c r="A590" s="2472" t="s">
        <v>305</v>
      </c>
      <c r="B590" s="2472" t="s">
        <v>306</v>
      </c>
      <c r="C590" s="1061"/>
      <c r="D590" s="3154"/>
      <c r="E590" s="2896"/>
      <c r="F590" s="3075" t="str">
        <f>INDEX(PT_DIFFERENTIATION_VTAR,MATCH(A590,PT_DIFFERENTIATION_VTAR_ID,0))</f>
        <v>Тариф на техническую воду</v>
      </c>
      <c r="G590" s="3119" t="str">
        <f>INDEX(PT_DIFFERENTIATION_NTAR,MATCH(B590,PT_DIFFERENTIATION_NTAR_ID,0))</f>
        <v/>
      </c>
      <c r="H590" s="2554"/>
      <c r="I590" s="2431"/>
      <c r="J590" s="2465"/>
      <c r="K590" s="2470"/>
      <c r="L590" s="2554" t="s">
        <v>381</v>
      </c>
      <c r="M590" s="1033"/>
      <c r="N590" s="1026"/>
      <c r="O590" s="2316"/>
      <c r="P590" s="2316"/>
      <c r="AH590" s="2323">
        <v>0</v>
      </c>
    </row>
    <row s="62286" customFormat="1" customHeight="1" ht="18.75" hidden="1">
      <c r="A591" s="2472"/>
      <c r="B591" s="2472"/>
      <c r="C591" s="1061" t="s">
        <v>1219</v>
      </c>
      <c r="D591" s="3154"/>
      <c r="E591" s="2896"/>
      <c r="F591" s="3075"/>
      <c r="G591" s="3119"/>
      <c r="H591" s="2192"/>
      <c r="I591" s="1343" t="s">
        <v>1218</v>
      </c>
      <c r="J591" s="1263"/>
      <c r="K591" s="2192"/>
      <c r="L591" s="906"/>
      <c r="M591" s="1033"/>
      <c r="N591" s="1026"/>
      <c r="O591" s="2316"/>
      <c r="P591" s="2316"/>
      <c r="AH591" s="2323">
        <v>0</v>
      </c>
    </row>
    <row s="62286" customFormat="1" customHeight="1" ht="0.75" hidden="1">
      <c r="A592" s="2472"/>
      <c r="B592" s="2472"/>
      <c r="C592" s="1061" t="s">
        <v>1228</v>
      </c>
      <c r="D592" s="3154"/>
      <c r="E592" s="2896"/>
      <c r="F592" s="3075"/>
      <c r="G592" s="1092"/>
      <c r="H592" s="2192"/>
      <c r="I592" s="1343"/>
      <c r="J592" s="1263"/>
      <c r="K592" s="2192"/>
      <c r="L592" s="906"/>
      <c r="M592" s="1033"/>
      <c r="N592" s="1026"/>
      <c r="O592" s="2316"/>
      <c r="P592" s="2316"/>
      <c r="AH592" s="2323">
        <v>0</v>
      </c>
    </row>
    <row s="62286" customFormat="1" customHeight="1" ht="18.75" hidden="1">
      <c r="A593" s="2472" t="s">
        <v>310</v>
      </c>
      <c r="B593" s="2472" t="s">
        <v>311</v>
      </c>
      <c r="C593" s="1061"/>
      <c r="D593" s="3154"/>
      <c r="E593" s="2896"/>
      <c r="F593" s="3075" t="str">
        <f>INDEX(PT_DIFFERENTIATION_VTAR,MATCH(A593,PT_DIFFERENTIATION_VTAR_ID,0))</f>
        <v>Тариф на транспортировку воды</v>
      </c>
      <c r="G593" s="3119" t="str">
        <f>INDEX(PT_DIFFERENTIATION_NTAR,MATCH(B593,PT_DIFFERENTIATION_NTAR_ID,0))</f>
        <v/>
      </c>
      <c r="H593" s="2554"/>
      <c r="I593" s="2431"/>
      <c r="J593" s="2465"/>
      <c r="K593" s="2470"/>
      <c r="L593" s="2554" t="s">
        <v>381</v>
      </c>
      <c r="M593" s="1033"/>
      <c r="N593" s="1026"/>
      <c r="O593" s="2316"/>
      <c r="P593" s="2316"/>
      <c r="AH593" s="2323">
        <v>0</v>
      </c>
    </row>
    <row s="62286" customFormat="1" customHeight="1" ht="18.75" hidden="1">
      <c r="A594" s="2472"/>
      <c r="B594" s="2472"/>
      <c r="C594" s="1061" t="s">
        <v>1219</v>
      </c>
      <c r="D594" s="3154"/>
      <c r="E594" s="2896"/>
      <c r="F594" s="3075"/>
      <c r="G594" s="3119"/>
      <c r="H594" s="2192"/>
      <c r="I594" s="1343" t="s">
        <v>1218</v>
      </c>
      <c r="J594" s="1263"/>
      <c r="K594" s="2192"/>
      <c r="L594" s="906"/>
      <c r="M594" s="1033"/>
      <c r="N594" s="1026"/>
      <c r="O594" s="2316"/>
      <c r="P594" s="2316"/>
      <c r="AH594" s="2323">
        <v>0</v>
      </c>
    </row>
    <row s="62286" customFormat="1" customHeight="1" ht="0.75" hidden="1">
      <c r="A595" s="2472"/>
      <c r="B595" s="2472"/>
      <c r="C595" s="1061" t="s">
        <v>1228</v>
      </c>
      <c r="D595" s="3154"/>
      <c r="E595" s="2896"/>
      <c r="F595" s="3075"/>
      <c r="G595" s="1092"/>
      <c r="H595" s="2192"/>
      <c r="I595" s="1343"/>
      <c r="J595" s="1263"/>
      <c r="K595" s="2192"/>
      <c r="L595" s="906"/>
      <c r="M595" s="1033"/>
      <c r="N595" s="1026"/>
      <c r="O595" s="2316"/>
      <c r="P595" s="2316"/>
      <c r="AH595" s="2323">
        <v>0</v>
      </c>
    </row>
    <row s="62286" customFormat="1" customHeight="1" ht="18.75" hidden="1">
      <c r="A596" s="2472" t="s">
        <v>315</v>
      </c>
      <c r="B596" s="2472" t="s">
        <v>316</v>
      </c>
      <c r="C596" s="1061"/>
      <c r="D596" s="3154"/>
      <c r="E596" s="2896"/>
      <c r="F596" s="3075" t="str">
        <f>INDEX(PT_DIFFERENTIATION_VTAR,MATCH(A596,PT_DIFFERENTIATION_VTAR_ID,0))</f>
        <v>Тариф на подвоз воды</v>
      </c>
      <c r="G596" s="3119" t="str">
        <f>INDEX(PT_DIFFERENTIATION_NTAR,MATCH(B596,PT_DIFFERENTIATION_NTAR_ID,0))</f>
        <v/>
      </c>
      <c r="H596" s="2554"/>
      <c r="I596" s="2431"/>
      <c r="J596" s="2465"/>
      <c r="K596" s="2470"/>
      <c r="L596" s="2554" t="s">
        <v>381</v>
      </c>
      <c r="M596" s="1033"/>
      <c r="N596" s="1026"/>
      <c r="O596" s="2316"/>
      <c r="P596" s="2316"/>
      <c r="AH596" s="2323">
        <v>0</v>
      </c>
    </row>
    <row s="62286" customFormat="1" customHeight="1" ht="18.75" hidden="1">
      <c r="A597" s="2472"/>
      <c r="B597" s="2472"/>
      <c r="C597" s="1061" t="s">
        <v>1219</v>
      </c>
      <c r="D597" s="3154"/>
      <c r="E597" s="2896"/>
      <c r="F597" s="3075"/>
      <c r="G597" s="3119"/>
      <c r="H597" s="2192"/>
      <c r="I597" s="1343" t="s">
        <v>1218</v>
      </c>
      <c r="J597" s="1263"/>
      <c r="K597" s="2192"/>
      <c r="L597" s="906"/>
      <c r="M597" s="1033"/>
      <c r="N597" s="1026"/>
      <c r="O597" s="2316"/>
      <c r="P597" s="2316"/>
      <c r="AH597" s="2323">
        <v>0</v>
      </c>
    </row>
    <row s="62286" customFormat="1" customHeight="1" ht="0.75" hidden="1">
      <c r="A598" s="2472"/>
      <c r="B598" s="2472"/>
      <c r="C598" s="1061" t="s">
        <v>1228</v>
      </c>
      <c r="D598" s="3154"/>
      <c r="E598" s="2896"/>
      <c r="F598" s="3075"/>
      <c r="G598" s="1092"/>
      <c r="H598" s="2192"/>
      <c r="I598" s="1343"/>
      <c r="J598" s="1263"/>
      <c r="K598" s="2192"/>
      <c r="L598" s="906"/>
      <c r="M598" s="1033"/>
      <c r="N598" s="1026"/>
      <c r="O598" s="2316"/>
      <c r="P598" s="2316"/>
      <c r="AH598" s="2323">
        <v>0</v>
      </c>
    </row>
    <row s="62286" customFormat="1" customHeight="1" ht="18.75" hidden="1">
      <c r="A599" s="2472" t="s">
        <v>320</v>
      </c>
      <c r="B599" s="2472" t="s">
        <v>321</v>
      </c>
      <c r="C599" s="1061"/>
      <c r="D599" s="3154"/>
      <c r="E599" s="2896"/>
      <c r="F599" s="3075" t="str">
        <f>INDEX(PT_DIFFERENTIATION_VTAR,MATCH(A599,PT_DIFFERENTIATION_VTAR_ID,0))</f>
        <v>Тариф на подключение (технологическое присоединение) к централизованной системе холодного водоснабжения</v>
      </c>
      <c r="G599" s="3119" t="str">
        <f>INDEX(PT_DIFFERENTIATION_NTAR,MATCH(B599,PT_DIFFERENTIATION_NTAR_ID,0))</f>
        <v/>
      </c>
      <c r="H599" s="2554"/>
      <c r="I599" s="2431"/>
      <c r="J599" s="2465"/>
      <c r="K599" s="2470"/>
      <c r="L599" s="2554" t="s">
        <v>381</v>
      </c>
      <c r="M599" s="1033"/>
      <c r="N599" s="1026"/>
      <c r="O599" s="2316"/>
      <c r="P599" s="2316"/>
      <c r="AH599" s="2323">
        <v>0</v>
      </c>
    </row>
    <row s="62286" customFormat="1" customHeight="1" ht="18.75" hidden="1">
      <c r="A600" s="2472"/>
      <c r="B600" s="2472"/>
      <c r="C600" s="1061" t="s">
        <v>1219</v>
      </c>
      <c r="D600" s="3154"/>
      <c r="E600" s="2896"/>
      <c r="F600" s="3075"/>
      <c r="G600" s="3119"/>
      <c r="H600" s="2192"/>
      <c r="I600" s="1343" t="s">
        <v>1218</v>
      </c>
      <c r="J600" s="1263"/>
      <c r="K600" s="2192"/>
      <c r="L600" s="906"/>
      <c r="M600" s="1033"/>
      <c r="N600" s="1026"/>
      <c r="O600" s="2316"/>
      <c r="P600" s="2316"/>
      <c r="AH600" s="2323">
        <v>0</v>
      </c>
    </row>
    <row s="62286" customFormat="1" customHeight="1" ht="0.75" hidden="1">
      <c r="A601" s="2472"/>
      <c r="B601" s="2472"/>
      <c r="C601" s="1061" t="s">
        <v>1228</v>
      </c>
      <c r="D601" s="3154"/>
      <c r="E601" s="2896"/>
      <c r="F601" s="3075"/>
      <c r="G601" s="1092"/>
      <c r="H601" s="2192"/>
      <c r="I601" s="1343"/>
      <c r="J601" s="1263"/>
      <c r="K601" s="2192"/>
      <c r="L601" s="906"/>
      <c r="M601" s="1033"/>
      <c r="N601" s="1026"/>
      <c r="O601" s="2316"/>
      <c r="P601" s="2316"/>
      <c r="AH601" s="2323">
        <v>0</v>
      </c>
    </row>
    <row s="62286" customFormat="1" customHeight="1" ht="18.75" hidden="1">
      <c r="A602" s="2472" t="s">
        <v>325</v>
      </c>
      <c r="B602" s="2472" t="s">
        <v>326</v>
      </c>
      <c r="C602" s="1061"/>
      <c r="D602" s="3154"/>
      <c r="E602" s="2896"/>
      <c r="F602" s="3075" t="str">
        <f>INDEX(PT_DIFFERENTIATION_VTAR,MATCH(A602,PT_DIFFERENTIATION_VTAR_ID,0))</f>
        <v>Тариф на горячую воду (горячее водоснабжение)</v>
      </c>
      <c r="G602" s="3119" t="str">
        <f>INDEX(PT_DIFFERENTIATION_NTAR,MATCH(B602,PT_DIFFERENTIATION_NTAR_ID,0))</f>
        <v/>
      </c>
      <c r="H602" s="2554"/>
      <c r="I602" s="2431"/>
      <c r="J602" s="2465"/>
      <c r="K602" s="2470"/>
      <c r="L602" s="2554" t="s">
        <v>381</v>
      </c>
      <c r="M602" s="1033"/>
      <c r="N602" s="1026"/>
      <c r="O602" s="2316"/>
      <c r="P602" s="2316"/>
      <c r="AH602" s="2323">
        <v>0</v>
      </c>
    </row>
    <row s="62286" customFormat="1" customHeight="1" ht="18.75" hidden="1">
      <c r="A603" s="2472"/>
      <c r="B603" s="2472"/>
      <c r="C603" s="1061" t="s">
        <v>1219</v>
      </c>
      <c r="D603" s="3154"/>
      <c r="E603" s="2896"/>
      <c r="F603" s="3075"/>
      <c r="G603" s="3119"/>
      <c r="H603" s="2192"/>
      <c r="I603" s="1343" t="s">
        <v>1218</v>
      </c>
      <c r="J603" s="1263"/>
      <c r="K603" s="2192"/>
      <c r="L603" s="906"/>
      <c r="M603" s="1033"/>
      <c r="N603" s="1026"/>
      <c r="O603" s="2316"/>
      <c r="P603" s="2316"/>
      <c r="AH603" s="2323">
        <v>0</v>
      </c>
    </row>
    <row s="62286" customFormat="1" customHeight="1" ht="0.75" hidden="1">
      <c r="A604" s="2472"/>
      <c r="B604" s="2472"/>
      <c r="C604" s="1061" t="s">
        <v>1228</v>
      </c>
      <c r="D604" s="3154"/>
      <c r="E604" s="2896"/>
      <c r="F604" s="3075"/>
      <c r="G604" s="1092"/>
      <c r="H604" s="2192"/>
      <c r="I604" s="1343"/>
      <c r="J604" s="1263"/>
      <c r="K604" s="2192"/>
      <c r="L604" s="906"/>
      <c r="M604" s="1033"/>
      <c r="N604" s="1026"/>
      <c r="O604" s="2316"/>
      <c r="P604" s="2316"/>
      <c r="AH604" s="2323">
        <v>0</v>
      </c>
    </row>
    <row s="62286" customFormat="1" customHeight="1" ht="18.75" hidden="1">
      <c r="A605" s="2472" t="s">
        <v>330</v>
      </c>
      <c r="B605" s="2472" t="s">
        <v>331</v>
      </c>
      <c r="C605" s="1061"/>
      <c r="D605" s="3154"/>
      <c r="E605" s="2896"/>
      <c r="F605" s="3075" t="str">
        <f>INDEX(PT_DIFFERENTIATION_VTAR,MATCH(A605,PT_DIFFERENTIATION_VTAR_ID,0))</f>
        <v>Тариф на транспортировку горячей воды</v>
      </c>
      <c r="G605" s="3119" t="str">
        <f>INDEX(PT_DIFFERENTIATION_NTAR,MATCH(B605,PT_DIFFERENTIATION_NTAR_ID,0))</f>
        <v/>
      </c>
      <c r="H605" s="2554"/>
      <c r="I605" s="2431"/>
      <c r="J605" s="2465"/>
      <c r="K605" s="2470"/>
      <c r="L605" s="2554" t="s">
        <v>381</v>
      </c>
      <c r="M605" s="1033"/>
      <c r="N605" s="1026"/>
      <c r="O605" s="2316"/>
      <c r="P605" s="2316"/>
      <c r="AH605" s="2323">
        <v>0</v>
      </c>
    </row>
    <row s="62286" customFormat="1" customHeight="1" ht="18.75" hidden="1">
      <c r="A606" s="2472"/>
      <c r="B606" s="2472"/>
      <c r="C606" s="1061" t="s">
        <v>1219</v>
      </c>
      <c r="D606" s="3154"/>
      <c r="E606" s="2896"/>
      <c r="F606" s="3075"/>
      <c r="G606" s="3119"/>
      <c r="H606" s="2192"/>
      <c r="I606" s="1343" t="s">
        <v>1218</v>
      </c>
      <c r="J606" s="1263"/>
      <c r="K606" s="2192"/>
      <c r="L606" s="906"/>
      <c r="M606" s="1033"/>
      <c r="N606" s="1026"/>
      <c r="O606" s="2316"/>
      <c r="P606" s="2316"/>
      <c r="AH606" s="2323">
        <v>0</v>
      </c>
    </row>
    <row s="62286" customFormat="1" customHeight="1" ht="0.75" hidden="1">
      <c r="A607" s="2472"/>
      <c r="B607" s="2472"/>
      <c r="C607" s="1061" t="s">
        <v>1228</v>
      </c>
      <c r="D607" s="3154"/>
      <c r="E607" s="2896"/>
      <c r="F607" s="3075"/>
      <c r="G607" s="1092"/>
      <c r="H607" s="2192"/>
      <c r="I607" s="1343"/>
      <c r="J607" s="1263"/>
      <c r="K607" s="2192"/>
      <c r="L607" s="906"/>
      <c r="M607" s="1033"/>
      <c r="N607" s="1026"/>
      <c r="O607" s="2316"/>
      <c r="P607" s="2316"/>
      <c r="AH607" s="2323">
        <v>0</v>
      </c>
    </row>
    <row s="62286" customFormat="1" customHeight="1" ht="18.75" hidden="1">
      <c r="A608" s="2472" t="s">
        <v>335</v>
      </c>
      <c r="B608" s="2472" t="s">
        <v>336</v>
      </c>
      <c r="C608" s="1061"/>
      <c r="D608" s="3154"/>
      <c r="E608" s="2896"/>
      <c r="F608" s="3075" t="str">
        <f>INDEX(PT_DIFFERENTIATION_VTAR,MATCH(A608,PT_DIFFERENTIATION_VTAR_ID,0))</f>
        <v>Тариф на подключение (технологическое присоединение) к централизованной системе горячего водоснабжения</v>
      </c>
      <c r="G608" s="3119" t="str">
        <f>INDEX(PT_DIFFERENTIATION_NTAR,MATCH(B608,PT_DIFFERENTIATION_NTAR_ID,0))</f>
        <v/>
      </c>
      <c r="H608" s="2554"/>
      <c r="I608" s="2431"/>
      <c r="J608" s="2465"/>
      <c r="K608" s="2470"/>
      <c r="L608" s="2554" t="s">
        <v>381</v>
      </c>
      <c r="M608" s="1033"/>
      <c r="N608" s="1026"/>
      <c r="O608" s="2316"/>
      <c r="P608" s="2316"/>
      <c r="AH608" s="2323">
        <v>0</v>
      </c>
    </row>
    <row s="62286" customFormat="1" customHeight="1" ht="18.75" hidden="1">
      <c r="A609" s="2472"/>
      <c r="B609" s="2472"/>
      <c r="C609" s="1061" t="s">
        <v>1219</v>
      </c>
      <c r="D609" s="3154"/>
      <c r="E609" s="2896"/>
      <c r="F609" s="3075"/>
      <c r="G609" s="3119"/>
      <c r="H609" s="2192"/>
      <c r="I609" s="1343" t="s">
        <v>1218</v>
      </c>
      <c r="J609" s="1263"/>
      <c r="K609" s="2192"/>
      <c r="L609" s="906"/>
      <c r="M609" s="1033"/>
      <c r="N609" s="1026"/>
      <c r="O609" s="2316"/>
      <c r="P609" s="2316"/>
      <c r="AH609" s="2323">
        <v>0</v>
      </c>
    </row>
    <row s="62286" customFormat="1" customHeight="1" ht="0.75" hidden="1">
      <c r="A610" s="2472"/>
      <c r="B610" s="2472"/>
      <c r="C610" s="1061" t="s">
        <v>1228</v>
      </c>
      <c r="D610" s="3154"/>
      <c r="E610" s="2896"/>
      <c r="F610" s="3075"/>
      <c r="G610" s="1092"/>
      <c r="H610" s="2192"/>
      <c r="I610" s="1343"/>
      <c r="J610" s="1263"/>
      <c r="K610" s="2192"/>
      <c r="L610" s="906"/>
      <c r="M610" s="1033"/>
      <c r="N610" s="1026"/>
      <c r="O610" s="2316"/>
      <c r="P610" s="2316"/>
      <c r="AH610" s="2323">
        <v>0</v>
      </c>
    </row>
    <row s="62286" customFormat="1" customHeight="1" ht="18.75" hidden="1">
      <c r="A611" s="2472" t="s">
        <v>340</v>
      </c>
      <c r="B611" s="2472" t="s">
        <v>341</v>
      </c>
      <c r="C611" s="1061"/>
      <c r="D611" s="3154"/>
      <c r="E611" s="2896"/>
      <c r="F611" s="3075" t="str">
        <f>INDEX(PT_DIFFERENTIATION_VTAR,MATCH(A611,PT_DIFFERENTIATION_VTAR_ID,0))</f>
        <v>Тариф на водоотведение</v>
      </c>
      <c r="G611" s="3119" t="str">
        <f>INDEX(PT_DIFFERENTIATION_NTAR,MATCH(B611,PT_DIFFERENTIATION_NTAR_ID,0))</f>
        <v/>
      </c>
      <c r="H611" s="2554"/>
      <c r="I611" s="2431"/>
      <c r="J611" s="2465"/>
      <c r="K611" s="2470"/>
      <c r="L611" s="2554" t="s">
        <v>381</v>
      </c>
      <c r="M611" s="1033"/>
      <c r="N611" s="1026"/>
      <c r="O611" s="2316"/>
      <c r="P611" s="2316"/>
      <c r="AH611" s="2323">
        <v>0</v>
      </c>
    </row>
    <row s="62286" customFormat="1" customHeight="1" ht="18.75" hidden="1">
      <c r="A612" s="2472"/>
      <c r="B612" s="2472"/>
      <c r="C612" s="1061" t="s">
        <v>1219</v>
      </c>
      <c r="D612" s="3154"/>
      <c r="E612" s="2896"/>
      <c r="F612" s="3075"/>
      <c r="G612" s="3119"/>
      <c r="H612" s="2192"/>
      <c r="I612" s="1343" t="s">
        <v>1218</v>
      </c>
      <c r="J612" s="1263"/>
      <c r="K612" s="2192"/>
      <c r="L612" s="906"/>
      <c r="M612" s="1033"/>
      <c r="N612" s="1026"/>
      <c r="O612" s="2316"/>
      <c r="P612" s="2316"/>
      <c r="AH612" s="2323">
        <v>0</v>
      </c>
    </row>
    <row s="62286" customFormat="1" customHeight="1" ht="0.75" hidden="1">
      <c r="A613" s="2472"/>
      <c r="B613" s="2472"/>
      <c r="C613" s="1061" t="s">
        <v>1228</v>
      </c>
      <c r="D613" s="3154"/>
      <c r="E613" s="2896"/>
      <c r="F613" s="3075"/>
      <c r="G613" s="1092"/>
      <c r="H613" s="2192"/>
      <c r="I613" s="1343"/>
      <c r="J613" s="1263"/>
      <c r="K613" s="2192"/>
      <c r="L613" s="906"/>
      <c r="M613" s="1033"/>
      <c r="N613" s="1026"/>
      <c r="O613" s="2316"/>
      <c r="P613" s="2316"/>
      <c r="AH613" s="2323">
        <v>0</v>
      </c>
    </row>
    <row s="62286" customFormat="1" customHeight="1" ht="18.75" hidden="1">
      <c r="A614" s="2472" t="s">
        <v>345</v>
      </c>
      <c r="B614" s="2472" t="s">
        <v>346</v>
      </c>
      <c r="C614" s="1061"/>
      <c r="D614" s="3154"/>
      <c r="E614" s="2896"/>
      <c r="F614" s="3075" t="str">
        <f>INDEX(PT_DIFFERENTIATION_VTAR,MATCH(A614,PT_DIFFERENTIATION_VTAR_ID,0))</f>
        <v>Тариф на транспортировку сточных вод</v>
      </c>
      <c r="G614" s="3119" t="str">
        <f>INDEX(PT_DIFFERENTIATION_NTAR,MATCH(B614,PT_DIFFERENTIATION_NTAR_ID,0))</f>
        <v/>
      </c>
      <c r="H614" s="2554"/>
      <c r="I614" s="2431"/>
      <c r="J614" s="2465"/>
      <c r="K614" s="2470"/>
      <c r="L614" s="2554" t="s">
        <v>381</v>
      </c>
      <c r="M614" s="1033"/>
      <c r="N614" s="1026"/>
      <c r="O614" s="2316"/>
      <c r="P614" s="2316"/>
      <c r="AH614" s="2323">
        <v>0</v>
      </c>
    </row>
    <row s="62286" customFormat="1" customHeight="1" ht="18.75" hidden="1">
      <c r="A615" s="2472"/>
      <c r="B615" s="2472"/>
      <c r="C615" s="1061" t="s">
        <v>1219</v>
      </c>
      <c r="D615" s="3154"/>
      <c r="E615" s="2896"/>
      <c r="F615" s="3075"/>
      <c r="G615" s="3119"/>
      <c r="H615" s="2192"/>
      <c r="I615" s="1343" t="s">
        <v>1218</v>
      </c>
      <c r="J615" s="1263"/>
      <c r="K615" s="2192"/>
      <c r="L615" s="906"/>
      <c r="M615" s="1033"/>
      <c r="N615" s="1026"/>
      <c r="O615" s="2316"/>
      <c r="P615" s="2316"/>
      <c r="AH615" s="2323">
        <v>0</v>
      </c>
    </row>
    <row s="62286" customFormat="1" customHeight="1" ht="0.75" hidden="1">
      <c r="A616" s="2472"/>
      <c r="B616" s="2472"/>
      <c r="C616" s="1061" t="s">
        <v>1228</v>
      </c>
      <c r="D616" s="3154"/>
      <c r="E616" s="2896"/>
      <c r="F616" s="3075"/>
      <c r="G616" s="1092"/>
      <c r="H616" s="2192"/>
      <c r="I616" s="1343"/>
      <c r="J616" s="1263"/>
      <c r="K616" s="2192"/>
      <c r="L616" s="906"/>
      <c r="M616" s="1033"/>
      <c r="N616" s="1026"/>
      <c r="O616" s="2316"/>
      <c r="P616" s="2316"/>
      <c r="AH616" s="2323">
        <v>0</v>
      </c>
    </row>
    <row s="62286" customFormat="1" customHeight="1" ht="18.75" hidden="1">
      <c r="A617" s="2472" t="s">
        <v>350</v>
      </c>
      <c r="B617" s="2472" t="s">
        <v>351</v>
      </c>
      <c r="C617" s="1061"/>
      <c r="D617" s="3154"/>
      <c r="E617" s="2896"/>
      <c r="F617" s="3075" t="str">
        <f>INDEX(PT_DIFFERENTIATION_VTAR,MATCH(A617,PT_DIFFERENTIATION_VTAR_ID,0))</f>
        <v>Тариф на подключение (технологическое присоединение) к централизованной системе водоотведения</v>
      </c>
      <c r="G617" s="3119" t="str">
        <f>INDEX(PT_DIFFERENTIATION_NTAR,MATCH(B617,PT_DIFFERENTIATION_NTAR_ID,0))</f>
        <v/>
      </c>
      <c r="H617" s="2554"/>
      <c r="I617" s="2431"/>
      <c r="J617" s="2465"/>
      <c r="K617" s="2470"/>
      <c r="L617" s="2554" t="s">
        <v>381</v>
      </c>
      <c r="M617" s="1033"/>
      <c r="N617" s="1026"/>
      <c r="O617" s="2316"/>
      <c r="P617" s="2316"/>
      <c r="AH617" s="2323">
        <v>0</v>
      </c>
    </row>
    <row s="62286" customFormat="1" customHeight="1" ht="18.75" hidden="1">
      <c r="A618" s="2472"/>
      <c r="B618" s="2472"/>
      <c r="C618" s="1061" t="s">
        <v>1219</v>
      </c>
      <c r="D618" s="3154"/>
      <c r="E618" s="2896"/>
      <c r="F618" s="3075"/>
      <c r="G618" s="3119"/>
      <c r="H618" s="2192"/>
      <c r="I618" s="1343" t="s">
        <v>1218</v>
      </c>
      <c r="J618" s="1263"/>
      <c r="K618" s="2192"/>
      <c r="L618" s="906"/>
      <c r="M618" s="1033"/>
      <c r="N618" s="1026"/>
      <c r="O618" s="2316"/>
      <c r="P618" s="2316"/>
      <c r="AH618" s="2323">
        <v>0</v>
      </c>
    </row>
    <row s="62286" customFormat="1" customHeight="1" ht="1.05">
      <c r="A619" s="2472"/>
      <c r="B619" s="2472"/>
      <c r="C619" s="1061" t="s">
        <v>1228</v>
      </c>
      <c r="D619" s="3154"/>
      <c r="E619" s="2896"/>
      <c r="F619" s="3075"/>
      <c r="G619" s="1092"/>
      <c r="H619" s="2192"/>
      <c r="I619" s="1343"/>
      <c r="J619" s="1263"/>
      <c r="K619" s="2192"/>
      <c r="L619" s="906"/>
      <c r="M619" s="1033"/>
      <c r="N619" s="1026"/>
      <c r="O619" s="2316"/>
      <c r="P619" s="2316"/>
      <c r="AH619" s="2323">
        <v>1</v>
      </c>
    </row>
    <row s="62977" customFormat="1" customHeight="1" ht="3">
      <c r="A620" s="2472"/>
      <c r="B620" s="2472"/>
      <c r="C620" s="2473"/>
      <c r="E620" s="1094"/>
      <c r="F620" s="1094"/>
      <c r="G620" s="1094"/>
      <c r="H620" s="1094"/>
      <c r="I620" s="1094"/>
      <c r="J620" s="1094"/>
      <c r="K620" s="1094"/>
      <c r="L620" s="1094"/>
      <c r="M620" s="1094"/>
      <c r="O620" s="888"/>
      <c r="P620" s="888"/>
      <c r="AH620" s="832">
        <v>3</v>
      </c>
    </row>
    <row customHeight="1" ht="26.25">
      <c r="E621" s="894"/>
      <c r="F621" s="2977"/>
      <c r="G621" s="2977"/>
      <c r="H621" s="2977"/>
      <c r="I621" s="2977"/>
      <c r="J621" s="2977"/>
      <c r="K621" s="2977"/>
      <c r="L621" s="2977"/>
      <c r="M621" s="2977"/>
      <c r="AH621" s="1066">
        <v>25</v>
      </c>
    </row>
    <row customHeight="1" ht="14.25" hidden="1">
      <c r="A622" s="2471" t="s">
        <v>83</v>
      </c>
      <c r="B622" s="2471">
        <v>0</v>
      </c>
      <c r="C622" s="1061">
        <v>0</v>
      </c>
      <c r="D622" s="1036">
        <v>3</v>
      </c>
      <c r="E622" s="1066">
        <v>6</v>
      </c>
      <c r="F622" s="1066">
        <v>46</v>
      </c>
      <c r="G622" s="1066">
        <v>35</v>
      </c>
      <c r="H622" s="1066">
        <v>3</v>
      </c>
      <c r="I622" s="1066">
        <v>11</v>
      </c>
      <c r="J622" s="1066">
        <v>11</v>
      </c>
      <c r="K622" s="1066">
        <v>35</v>
      </c>
      <c r="L622" s="1066">
        <v>35</v>
      </c>
      <c r="M622" s="1066">
        <v>84</v>
      </c>
      <c r="N622" s="1066">
        <v>10</v>
      </c>
      <c r="O622" s="1042">
        <v>10</v>
      </c>
      <c r="P622" s="1042">
        <v>10</v>
      </c>
      <c r="Q622" s="1066">
        <v>10</v>
      </c>
      <c r="R622" s="1066">
        <v>10</v>
      </c>
      <c r="S622" s="1066">
        <v>10</v>
      </c>
      <c r="T622" s="1066">
        <v>10</v>
      </c>
      <c r="U622" s="1066">
        <v>10</v>
      </c>
      <c r="V622" s="1066">
        <v>10</v>
      </c>
      <c r="W622" s="1066">
        <v>10</v>
      </c>
      <c r="X622" s="1066">
        <v>10</v>
      </c>
      <c r="Y622" s="1066">
        <v>10</v>
      </c>
      <c r="Z622" s="1066">
        <v>10</v>
      </c>
      <c r="AA622" s="1066">
        <v>10</v>
      </c>
      <c r="AB622" s="1066">
        <v>10</v>
      </c>
      <c r="AC622" s="1066">
        <v>10</v>
      </c>
      <c r="AD622" s="1066">
        <v>10</v>
      </c>
      <c r="AE622" s="1066">
        <v>10</v>
      </c>
      <c r="AF622" s="1066">
        <v>10</v>
      </c>
      <c r="AG622" s="1066">
        <v>10</v>
      </c>
      <c r="AH622" s="1066">
        <v>14</v>
      </c>
    </row>
  </sheetData>
  <sheetProtection sheet="1" formatColumns="0" formatRows="0" autoFilter="0" sort="1" insertRows="1" insertColumns="1" deleteRows="1" deleteColumns="1"/>
  <mergeCells count="483">
    <mergeCell ref="G70:G71"/>
    <mergeCell ref="D215:D217"/>
    <mergeCell ref="E215:E217"/>
    <mergeCell ref="F215:F217"/>
    <mergeCell ref="G215:G216"/>
    <mergeCell ref="D358:D360"/>
    <mergeCell ref="E358:E360"/>
    <mergeCell ref="F358:F360"/>
    <mergeCell ref="G358:G359"/>
    <mergeCell ref="D91:D93"/>
    <mergeCell ref="E91:E93"/>
    <mergeCell ref="F91:F93"/>
    <mergeCell ref="D128:D164"/>
    <mergeCell ref="E128:E164"/>
    <mergeCell ref="D94:D96"/>
    <mergeCell ref="E94:E96"/>
    <mergeCell ref="F94:F96"/>
    <mergeCell ref="G327:G332"/>
    <mergeCell ref="G346:G347"/>
    <mergeCell ref="E70:E72"/>
    <mergeCell ref="F70:F72"/>
    <mergeCell ref="G184:G189"/>
    <mergeCell ref="G203:G204"/>
    <mergeCell ref="D97:D99"/>
    <mergeCell ref="F61:F63"/>
    <mergeCell ref="G2:G3"/>
    <mergeCell ref="G5:G6"/>
    <mergeCell ref="E14:L14"/>
    <mergeCell ref="G16:L16"/>
    <mergeCell ref="G17:L17"/>
    <mergeCell ref="E19:L19"/>
    <mergeCell ref="D24:D30"/>
    <mergeCell ref="M19:M21"/>
    <mergeCell ref="E20:E21"/>
    <mergeCell ref="F20:F21"/>
    <mergeCell ref="G20:G21"/>
    <mergeCell ref="H20:J20"/>
    <mergeCell ref="K20:K21"/>
    <mergeCell ref="L20:L21"/>
    <mergeCell ref="H21:I21"/>
    <mergeCell ref="H22:I22"/>
    <mergeCell ref="F23:L23"/>
    <mergeCell ref="G24:G25"/>
    <mergeCell ref="F24:F30"/>
    <mergeCell ref="E24:E30"/>
    <mergeCell ref="F596:F598"/>
    <mergeCell ref="G593:G594"/>
    <mergeCell ref="D64:D66"/>
    <mergeCell ref="E64:E66"/>
    <mergeCell ref="F64:F66"/>
    <mergeCell ref="D31:D43"/>
    <mergeCell ref="E31:E43"/>
    <mergeCell ref="F31:F43"/>
    <mergeCell ref="D44:D50"/>
    <mergeCell ref="E44:E50"/>
    <mergeCell ref="F44:F50"/>
    <mergeCell ref="D51:D57"/>
    <mergeCell ref="E51:E57"/>
    <mergeCell ref="F51:F57"/>
    <mergeCell ref="G31:G32"/>
    <mergeCell ref="G44:G45"/>
    <mergeCell ref="G51:G52"/>
    <mergeCell ref="G58:G59"/>
    <mergeCell ref="G61:G62"/>
    <mergeCell ref="D58:D60"/>
    <mergeCell ref="E58:E60"/>
    <mergeCell ref="F58:F60"/>
    <mergeCell ref="D61:D63"/>
    <mergeCell ref="E61:E63"/>
    <mergeCell ref="F621:M621"/>
    <mergeCell ref="F477:L477"/>
    <mergeCell ref="D478:D496"/>
    <mergeCell ref="E478:E496"/>
    <mergeCell ref="F478:F496"/>
    <mergeCell ref="D497:D533"/>
    <mergeCell ref="E497:E533"/>
    <mergeCell ref="F497:F533"/>
    <mergeCell ref="D534:D552"/>
    <mergeCell ref="D572:D574"/>
    <mergeCell ref="E572:E574"/>
    <mergeCell ref="F572:F574"/>
    <mergeCell ref="D575:D577"/>
    <mergeCell ref="E575:E577"/>
    <mergeCell ref="F575:F577"/>
    <mergeCell ref="E534:E552"/>
    <mergeCell ref="F534:F552"/>
    <mergeCell ref="D553:D571"/>
    <mergeCell ref="E553:E571"/>
    <mergeCell ref="F593:F595"/>
    <mergeCell ref="D596:D598"/>
    <mergeCell ref="E596:E598"/>
    <mergeCell ref="D617:D619"/>
    <mergeCell ref="E617:E619"/>
    <mergeCell ref="G67:G68"/>
    <mergeCell ref="G73:G74"/>
    <mergeCell ref="G76:G77"/>
    <mergeCell ref="G79:G80"/>
    <mergeCell ref="M395:M402"/>
    <mergeCell ref="M109:M128"/>
    <mergeCell ref="F251:L251"/>
    <mergeCell ref="M252:M271"/>
    <mergeCell ref="F394:L394"/>
    <mergeCell ref="F73:F75"/>
    <mergeCell ref="F76:F78"/>
    <mergeCell ref="F97:F99"/>
    <mergeCell ref="F100:F102"/>
    <mergeCell ref="F128:F164"/>
    <mergeCell ref="F165:F183"/>
    <mergeCell ref="M24:M105"/>
    <mergeCell ref="G64:G65"/>
    <mergeCell ref="G233:G234"/>
    <mergeCell ref="G236:G237"/>
    <mergeCell ref="G239:G240"/>
    <mergeCell ref="G242:G243"/>
    <mergeCell ref="G308:G313"/>
    <mergeCell ref="G128:G133"/>
    <mergeCell ref="G165:G170"/>
    <mergeCell ref="D67:D69"/>
    <mergeCell ref="E67:E69"/>
    <mergeCell ref="F67:F69"/>
    <mergeCell ref="D85:D87"/>
    <mergeCell ref="E85:E87"/>
    <mergeCell ref="F85:F87"/>
    <mergeCell ref="D88:D90"/>
    <mergeCell ref="E88:E90"/>
    <mergeCell ref="F88:F90"/>
    <mergeCell ref="D79:D81"/>
    <mergeCell ref="E79:E81"/>
    <mergeCell ref="F79:F81"/>
    <mergeCell ref="D82:D84"/>
    <mergeCell ref="E82:E84"/>
    <mergeCell ref="F82:F84"/>
    <mergeCell ref="D73:D75"/>
    <mergeCell ref="E73:E75"/>
    <mergeCell ref="D76:D78"/>
    <mergeCell ref="E76:E78"/>
    <mergeCell ref="D70:D72"/>
    <mergeCell ref="E97:E99"/>
    <mergeCell ref="D100:D102"/>
    <mergeCell ref="E100:E102"/>
    <mergeCell ref="D165:D183"/>
    <mergeCell ref="E165:E183"/>
    <mergeCell ref="D212:D214"/>
    <mergeCell ref="E212:E214"/>
    <mergeCell ref="F212:F214"/>
    <mergeCell ref="F184:F202"/>
    <mergeCell ref="D203:D205"/>
    <mergeCell ref="E203:E205"/>
    <mergeCell ref="F203:F205"/>
    <mergeCell ref="D103:D105"/>
    <mergeCell ref="E103:E105"/>
    <mergeCell ref="F103:F105"/>
    <mergeCell ref="D109:D127"/>
    <mergeCell ref="E109:E127"/>
    <mergeCell ref="F109:F127"/>
    <mergeCell ref="D184:D202"/>
    <mergeCell ref="E184:E202"/>
    <mergeCell ref="F106:L106"/>
    <mergeCell ref="H107:I107"/>
    <mergeCell ref="F108:L108"/>
    <mergeCell ref="G206:G207"/>
    <mergeCell ref="D218:D220"/>
    <mergeCell ref="E218:E220"/>
    <mergeCell ref="F218:F220"/>
    <mergeCell ref="D206:D208"/>
    <mergeCell ref="E206:E208"/>
    <mergeCell ref="F206:F208"/>
    <mergeCell ref="D209:D211"/>
    <mergeCell ref="E209:E211"/>
    <mergeCell ref="F209:F211"/>
    <mergeCell ref="D221:D223"/>
    <mergeCell ref="E221:E223"/>
    <mergeCell ref="F221:F223"/>
    <mergeCell ref="D224:D226"/>
    <mergeCell ref="E224:E226"/>
    <mergeCell ref="F224:F226"/>
    <mergeCell ref="G224:G225"/>
    <mergeCell ref="G227:G228"/>
    <mergeCell ref="G230:G231"/>
    <mergeCell ref="D227:D229"/>
    <mergeCell ref="E227:E229"/>
    <mergeCell ref="F227:F229"/>
    <mergeCell ref="D230:D232"/>
    <mergeCell ref="E230:E232"/>
    <mergeCell ref="F230:F232"/>
    <mergeCell ref="D239:D241"/>
    <mergeCell ref="E239:E241"/>
    <mergeCell ref="F239:F241"/>
    <mergeCell ref="D242:D244"/>
    <mergeCell ref="E242:E244"/>
    <mergeCell ref="F242:F244"/>
    <mergeCell ref="D233:D235"/>
    <mergeCell ref="E233:E235"/>
    <mergeCell ref="F233:F235"/>
    <mergeCell ref="D236:D238"/>
    <mergeCell ref="E236:E238"/>
    <mergeCell ref="F236:F238"/>
    <mergeCell ref="G245:G246"/>
    <mergeCell ref="G248:G249"/>
    <mergeCell ref="G252:G257"/>
    <mergeCell ref="G271:G276"/>
    <mergeCell ref="D346:D348"/>
    <mergeCell ref="E346:E348"/>
    <mergeCell ref="F346:F348"/>
    <mergeCell ref="D349:D351"/>
    <mergeCell ref="E349:E351"/>
    <mergeCell ref="F349:F351"/>
    <mergeCell ref="D308:D326"/>
    <mergeCell ref="D271:D307"/>
    <mergeCell ref="E271:E307"/>
    <mergeCell ref="F271:F307"/>
    <mergeCell ref="D245:D247"/>
    <mergeCell ref="E245:E247"/>
    <mergeCell ref="F245:F247"/>
    <mergeCell ref="D248:D250"/>
    <mergeCell ref="E248:E250"/>
    <mergeCell ref="F248:F250"/>
    <mergeCell ref="D252:D270"/>
    <mergeCell ref="E252:E270"/>
    <mergeCell ref="F252:F270"/>
    <mergeCell ref="E308:E326"/>
    <mergeCell ref="F308:F326"/>
    <mergeCell ref="D327:D345"/>
    <mergeCell ref="E327:E345"/>
    <mergeCell ref="F327:F345"/>
    <mergeCell ref="D352:D354"/>
    <mergeCell ref="E352:E354"/>
    <mergeCell ref="F352:F354"/>
    <mergeCell ref="D355:D357"/>
    <mergeCell ref="E355:E357"/>
    <mergeCell ref="F355:F357"/>
    <mergeCell ref="D376:D378"/>
    <mergeCell ref="E376:E378"/>
    <mergeCell ref="F376:F378"/>
    <mergeCell ref="D367:D369"/>
    <mergeCell ref="E367:E369"/>
    <mergeCell ref="F367:F369"/>
    <mergeCell ref="D370:D372"/>
    <mergeCell ref="E370:E372"/>
    <mergeCell ref="F370:F372"/>
    <mergeCell ref="D361:D363"/>
    <mergeCell ref="E361:E363"/>
    <mergeCell ref="F361:F363"/>
    <mergeCell ref="D364:D366"/>
    <mergeCell ref="E364:E366"/>
    <mergeCell ref="F364:F366"/>
    <mergeCell ref="G364:G365"/>
    <mergeCell ref="D373:D375"/>
    <mergeCell ref="E373:E375"/>
    <mergeCell ref="F373:F375"/>
    <mergeCell ref="D379:D381"/>
    <mergeCell ref="E379:E381"/>
    <mergeCell ref="F379:F381"/>
    <mergeCell ref="D382:D384"/>
    <mergeCell ref="E382:E384"/>
    <mergeCell ref="F382:F384"/>
    <mergeCell ref="G379:G380"/>
    <mergeCell ref="G382:G383"/>
    <mergeCell ref="D415:D421"/>
    <mergeCell ref="E415:E421"/>
    <mergeCell ref="F415:F421"/>
    <mergeCell ref="D391:D393"/>
    <mergeCell ref="E391:E393"/>
    <mergeCell ref="F391:F393"/>
    <mergeCell ref="D395:D401"/>
    <mergeCell ref="E395:E401"/>
    <mergeCell ref="F395:F401"/>
    <mergeCell ref="D385:D387"/>
    <mergeCell ref="E385:E387"/>
    <mergeCell ref="F385:F387"/>
    <mergeCell ref="D388:D390"/>
    <mergeCell ref="E388:E390"/>
    <mergeCell ref="F388:F390"/>
    <mergeCell ref="G388:G389"/>
    <mergeCell ref="D432:D434"/>
    <mergeCell ref="E432:E434"/>
    <mergeCell ref="F432:F434"/>
    <mergeCell ref="D435:D437"/>
    <mergeCell ref="E435:E437"/>
    <mergeCell ref="F435:F437"/>
    <mergeCell ref="G435:G436"/>
    <mergeCell ref="D402:D414"/>
    <mergeCell ref="E402:E414"/>
    <mergeCell ref="F402:F414"/>
    <mergeCell ref="D422:D428"/>
    <mergeCell ref="E422:E428"/>
    <mergeCell ref="F422:F428"/>
    <mergeCell ref="D429:D431"/>
    <mergeCell ref="E429:E431"/>
    <mergeCell ref="F429:F431"/>
    <mergeCell ref="D447:D449"/>
    <mergeCell ref="E447:E449"/>
    <mergeCell ref="F447:F449"/>
    <mergeCell ref="G441:G442"/>
    <mergeCell ref="D453:D455"/>
    <mergeCell ref="E453:E455"/>
    <mergeCell ref="F453:F455"/>
    <mergeCell ref="D450:D452"/>
    <mergeCell ref="E450:E452"/>
    <mergeCell ref="F450:F452"/>
    <mergeCell ref="D438:D440"/>
    <mergeCell ref="E438:E440"/>
    <mergeCell ref="F438:F440"/>
    <mergeCell ref="D444:D446"/>
    <mergeCell ref="E444:E446"/>
    <mergeCell ref="F444:F446"/>
    <mergeCell ref="D441:D443"/>
    <mergeCell ref="E441:E443"/>
    <mergeCell ref="F441:F443"/>
    <mergeCell ref="D456:D458"/>
    <mergeCell ref="E456:E458"/>
    <mergeCell ref="F456:F458"/>
    <mergeCell ref="G453:G454"/>
    <mergeCell ref="G456:G457"/>
    <mergeCell ref="G459:G460"/>
    <mergeCell ref="D474:D476"/>
    <mergeCell ref="E474:E476"/>
    <mergeCell ref="F474:F476"/>
    <mergeCell ref="D465:D467"/>
    <mergeCell ref="E465:E467"/>
    <mergeCell ref="F465:F467"/>
    <mergeCell ref="D468:D470"/>
    <mergeCell ref="E468:E470"/>
    <mergeCell ref="F468:F470"/>
    <mergeCell ref="D459:D461"/>
    <mergeCell ref="E459:E461"/>
    <mergeCell ref="F459:F461"/>
    <mergeCell ref="D462:D464"/>
    <mergeCell ref="E462:E464"/>
    <mergeCell ref="F462:F464"/>
    <mergeCell ref="G462:G463"/>
    <mergeCell ref="D471:D473"/>
    <mergeCell ref="E471:E473"/>
    <mergeCell ref="F471:F473"/>
    <mergeCell ref="F553:F571"/>
    <mergeCell ref="D587:D589"/>
    <mergeCell ref="E587:E589"/>
    <mergeCell ref="F587:F589"/>
    <mergeCell ref="D590:D592"/>
    <mergeCell ref="E590:E592"/>
    <mergeCell ref="F590:F592"/>
    <mergeCell ref="D578:D580"/>
    <mergeCell ref="E578:E580"/>
    <mergeCell ref="F578:F580"/>
    <mergeCell ref="D581:D583"/>
    <mergeCell ref="E581:E583"/>
    <mergeCell ref="F581:F583"/>
    <mergeCell ref="D584:D586"/>
    <mergeCell ref="E584:E586"/>
    <mergeCell ref="F584:F586"/>
    <mergeCell ref="F617:F619"/>
    <mergeCell ref="M478:M497"/>
    <mergeCell ref="D611:D613"/>
    <mergeCell ref="E611:E613"/>
    <mergeCell ref="F611:F613"/>
    <mergeCell ref="D614:D616"/>
    <mergeCell ref="E614:E616"/>
    <mergeCell ref="F614:F616"/>
    <mergeCell ref="D605:D607"/>
    <mergeCell ref="E605:E607"/>
    <mergeCell ref="F605:F607"/>
    <mergeCell ref="D608:D610"/>
    <mergeCell ref="E608:E610"/>
    <mergeCell ref="F608:F610"/>
    <mergeCell ref="D599:D601"/>
    <mergeCell ref="E599:E601"/>
    <mergeCell ref="F599:F601"/>
    <mergeCell ref="D602:D604"/>
    <mergeCell ref="E602:E604"/>
    <mergeCell ref="F602:F604"/>
    <mergeCell ref="D593:D595"/>
    <mergeCell ref="E593:E595"/>
    <mergeCell ref="G617:G618"/>
    <mergeCell ref="G497:G502"/>
    <mergeCell ref="G82:G83"/>
    <mergeCell ref="G85:G86"/>
    <mergeCell ref="G88:G89"/>
    <mergeCell ref="G91:G92"/>
    <mergeCell ref="G94:G95"/>
    <mergeCell ref="G97:G98"/>
    <mergeCell ref="G100:G101"/>
    <mergeCell ref="G103:G104"/>
    <mergeCell ref="G109:G114"/>
    <mergeCell ref="G605:G606"/>
    <mergeCell ref="G608:G609"/>
    <mergeCell ref="G611:G612"/>
    <mergeCell ref="G614:G615"/>
    <mergeCell ref="G596:G597"/>
    <mergeCell ref="G599:G600"/>
    <mergeCell ref="G602:G603"/>
    <mergeCell ref="G590:G591"/>
    <mergeCell ref="G465:G466"/>
    <mergeCell ref="G468:G469"/>
    <mergeCell ref="G471:G472"/>
    <mergeCell ref="G474:G475"/>
    <mergeCell ref="G478:G483"/>
    <mergeCell ref="G534:G539"/>
    <mergeCell ref="G553:G558"/>
    <mergeCell ref="G572:G573"/>
    <mergeCell ref="G575:G576"/>
    <mergeCell ref="G578:G579"/>
    <mergeCell ref="G581:G582"/>
    <mergeCell ref="G587:G588"/>
    <mergeCell ref="G584:G585"/>
    <mergeCell ref="G209:G210"/>
    <mergeCell ref="G212:G213"/>
    <mergeCell ref="G218:G219"/>
    <mergeCell ref="G221:G222"/>
    <mergeCell ref="G438:G439"/>
    <mergeCell ref="G444:G445"/>
    <mergeCell ref="G447:G448"/>
    <mergeCell ref="G450:G451"/>
    <mergeCell ref="G385:G386"/>
    <mergeCell ref="G391:G392"/>
    <mergeCell ref="G395:G396"/>
    <mergeCell ref="G402:G403"/>
    <mergeCell ref="G415:G416"/>
    <mergeCell ref="G352:G353"/>
    <mergeCell ref="G355:G356"/>
    <mergeCell ref="G361:G362"/>
    <mergeCell ref="G422:G423"/>
    <mergeCell ref="G429:G430"/>
    <mergeCell ref="G432:G433"/>
    <mergeCell ref="G367:G368"/>
    <mergeCell ref="G370:G371"/>
    <mergeCell ref="G373:G374"/>
    <mergeCell ref="G376:G377"/>
    <mergeCell ref="G349:G350"/>
    <mergeCell ref="G46:G47"/>
    <mergeCell ref="G171:G176"/>
    <mergeCell ref="G314:G319"/>
    <mergeCell ref="G417:G418"/>
    <mergeCell ref="G540:G545"/>
    <mergeCell ref="G48:G49"/>
    <mergeCell ref="G177:G182"/>
    <mergeCell ref="G320:G325"/>
    <mergeCell ref="G419:G420"/>
    <mergeCell ref="G546:G551"/>
    <mergeCell ref="G53:G54"/>
    <mergeCell ref="G190:G195"/>
    <mergeCell ref="G333:G338"/>
    <mergeCell ref="G424:G425"/>
    <mergeCell ref="G559:G564"/>
    <mergeCell ref="G55:G56"/>
    <mergeCell ref="G196:G201"/>
    <mergeCell ref="G339:G344"/>
    <mergeCell ref="G426:G427"/>
    <mergeCell ref="G565:G570"/>
    <mergeCell ref="G26:G27"/>
    <mergeCell ref="G115:G120"/>
    <mergeCell ref="G258:G263"/>
    <mergeCell ref="G397:G398"/>
    <mergeCell ref="G484:G489"/>
    <mergeCell ref="G28:G29"/>
    <mergeCell ref="G121:G126"/>
    <mergeCell ref="G264:G269"/>
    <mergeCell ref="G399:G400"/>
    <mergeCell ref="G490:G495"/>
    <mergeCell ref="G33:G34"/>
    <mergeCell ref="G134:G139"/>
    <mergeCell ref="G277:G282"/>
    <mergeCell ref="G404:G405"/>
    <mergeCell ref="G503:G508"/>
    <mergeCell ref="G35:G36"/>
    <mergeCell ref="G140:G145"/>
    <mergeCell ref="G283:G288"/>
    <mergeCell ref="G406:G407"/>
    <mergeCell ref="G509:G514"/>
    <mergeCell ref="G37:G38"/>
    <mergeCell ref="G146:G151"/>
    <mergeCell ref="G289:G294"/>
    <mergeCell ref="G408:G409"/>
    <mergeCell ref="G515:G520"/>
    <mergeCell ref="G39:G40"/>
    <mergeCell ref="G152:G157"/>
    <mergeCell ref="G295:G300"/>
    <mergeCell ref="G410:G411"/>
    <mergeCell ref="G521:G526"/>
    <mergeCell ref="G41:G42"/>
    <mergeCell ref="G158:G163"/>
    <mergeCell ref="G301:G306"/>
    <mergeCell ref="G412:G413"/>
    <mergeCell ref="G527:G532"/>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61:J61 I24:J24 I31:J31 I44:J44 I51:J51 I58:J58 I64:J64 I67:J67 I73:J73 I76:J76 I79:J79 I82:J82 I85:J85 I88:J88 I91:J91 I94:J94 I97:J97 I100:J100 I395:J395 I402:J402 I415:J415 I422:J422 I429:J429 I432:J432 I435:J435 I438:J438 I444:J444 I447:J447 I450:J450 I453:J453 I456:J456 I459:J459 I462:J462 I465:J465 I468:J468 I8:J8 I103:J103 I248:J248 I128:J132 I165:J169 I184:J188 I203:J203 I206:J206 I209:J209 I212:J212 I218:J218 I221:J221 I224:J224 I227:J227 I230:J230 I233:J233 I236:J236 I239:J239 I242:J242 I245:J245 I252:J256 I109:J113 I271:J275 I308:J312 I327:J331 I346:J346 I349:J349 I352:J352 I355:J355 I361:J361 I364:J364 I367:J367 I370:J370 I373:J373 I379:J379 I382:J382 I385:J385 I388:J388 I391:J391 I376:J376 I471:J471 I474:J474 I478:J482 I497:J501 I534:J538 I553:J557 I572:J572 I575:J575 I578:J578 I581:J581 I587:J587 I590:J590 I593:J593 I596:J596 I599:J599 I602:J602 I605:J605 I608:J608 I611:J611 I614:J614 I617:J617 I2:J2 I5:J5 I70:J70 I215:J215 I358:J358 I441:J441 I584:J584 I46 J46 I171:I175 J171:J175 I314:I318 J314:J318 I417 J417 I540:I544 J540:J544 I48 J48 I177:I181 J177:J181 I320:I324 J320:J324 I419 J419 I546:I550 J546:J550 I53 J53 I190:I194 J190:J194 I333:I337 J333:J337 I424 J424 I559:I563 J559:J563 I55 J55 I196:I200 J196:J200 I339:I343 J339:J343 I426 J426 I565:I569 J565:J569 I26 J26 I115:I119 J115:J119 I258:I262 J258:J262 I397 J397 I484:I488 J484:J488 I28 J28 I121:I125 J121:J125 I264:I268 J264:J268 I399 J399 I490:I494 J490:J494 I33 J33 I134:I138 J134:J138 I277:I281 J277:J281 I404 J404 I503:I507 J503:J507 I35 J35 I140:I144 J140:J144 I283:I287 J283:J287 I406 J406 I509:I513 J509:J513 I37 J37 I146:I150 J146:J150 I289:I293 J289:J293 I408 J408 I515:I519 J515:J519 I39 J39 I152:I156 J152:J156 I295:I299 J295:J299 I410 J410 I521:I525 J521:J525 I41 J41 I158:I162 J158:J162 I301:I305 J301:J305 I412 J412 I527:I531 J527:J53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07">
      <formula1>900</formula1>
    </dataValidation>
    <dataValidation type="textLength" operator="lessThanOrEqual" allowBlank="1" showInputMessage="1" showErrorMessage="1" errorTitle="Ошибка" error="Допускается ввод не более 900 символов!" sqref="M252 M257 M395 M396 M23 M109 M114 M478 M483">
      <formula1>900</formula1>
    </dataValidation>
    <dataValidation type="decimal" allowBlank="1" showErrorMessage="1" errorTitle="Ошибка" error="Допускается ввод только действительных чисел!" sqref="K395 K402 K415 K422 K429 K432 K435 K438 K444 K447 K450 K453 K456 K459 K462 K465 K468 K471 K10 K109:K113 K245 K242 K239 K236 K233 K230 K227 K224 K221 K218 K212 K209 K206 K203 K184:K188 K165:K169 K128:K132 K252:K256 K248 K271:K275 K308:K312 K327:K331 K346 K349 K352 K355 K361 K364 K367 K370 K373 K379 K382 K385 K388 K391 K376 K474 K478:K482 K497:K501 K534:K538 K553:K557 K572 K575 K578 K581 K587 K590 K593 K596 K599 K602 K605 K608 K611 K614 K617 K5 K215 K358 K441 K584 K171:K175 K314:K318 K417 K540:K544 K177:K181 K320:K324 K419 K546:K550 K190:K194 K333:K337 K424 K559:K563 K196:K200 K339:K343 K426 K565:K569 K115:K119 K258:K262 K397 K484:K488 K121:K125 K264:K268 K399 K490:K494 K134:K138 K277:K281 K404 K503:K507 K140:K144 K283:K287 K406 K509:K513 K146:K150 K289:K293 K408 K515:K519 K152:K156 K295:K299 K410 K521:K525 K158:K162 K301:K305 K412 K527:K531">
      <formula1>-9.99999999999999E+23</formula1>
      <formula2>9.99999999999999E+23</formula2>
    </dataValidation>
  </dataValidations>
  <hyperlinks>
    <hyperlink ref="L107" r:id="rId2" xr:uid="{6F2BB94D-0FC4-3FF6-83B4-C1F3F1B69828}"/>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400165-AA5F-B824-3D7C-6BE6578FF2CD}"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G13" sqref="G13"/>
    </sheetView>
  </sheetViews>
  <sheetFormatPr defaultColWidth="10.57421875" customHeight="1" defaultRowHeight="14.25"/>
  <cols>
    <col min="1" max="1" style="63184" width="9.140625" hidden="1" customWidth="1"/>
    <col min="2" max="2" style="62148" width="9.140625" hidden="1" customWidth="1"/>
    <col min="3" max="3" style="62288" width="3.00390625" customWidth="1"/>
    <col min="4" max="4" style="62286" width="6.00390625" customWidth="1"/>
    <col min="5" max="5" style="62286" width="53.00390625" customWidth="1"/>
    <col min="6" max="7" style="62286" width="35.00390625" customWidth="1"/>
    <col min="8" max="8" style="62286" width="89.00390625" customWidth="1"/>
    <col min="9" max="9" style="62286" width="10.00390625" customWidth="1"/>
    <col min="10" max="11" style="62151" width="10.00390625" customWidth="1"/>
    <col min="12" max="17" style="62286" width="10.00390625" customWidth="1"/>
    <col min="18" max="18" style="62286" width="10.57421875" hidden="1"/>
  </cols>
  <sheetData>
    <row customHeight="1" ht="22.5" hidden="1">
      <c r="N1" s="947"/>
      <c r="O1" s="947"/>
      <c r="Q1" s="947"/>
      <c r="R1" s="1066" t="s">
        <v>14</v>
      </c>
    </row>
    <row s="62286" customFormat="1" customHeight="1" ht="18.75" hidden="1">
      <c r="A2" s="794"/>
      <c r="B2" s="1852"/>
      <c r="C2" s="2422" t="s">
        <v>104</v>
      </c>
      <c r="D2" s="2365"/>
      <c r="E2" s="2374"/>
      <c r="F2" s="949"/>
      <c r="G2" s="1853"/>
      <c r="H2" s="1066"/>
      <c r="I2" s="2316"/>
      <c r="J2" s="2316"/>
      <c r="R2" s="2323">
        <v>0</v>
      </c>
    </row>
    <row customHeight="1" ht="14.25" hidden="1">
      <c r="R3" s="1066">
        <v>0</v>
      </c>
    </row>
    <row customHeight="1" ht="6.3">
      <c r="C4" s="1068"/>
      <c r="D4" s="1055"/>
      <c r="E4" s="1055"/>
      <c r="F4" s="1055"/>
      <c r="G4" s="777"/>
      <c r="H4" s="777"/>
      <c r="R4" s="1066">
        <v>6</v>
      </c>
    </row>
    <row customHeight="1" ht="34.5">
      <c r="C5" s="1068"/>
      <c r="D5" s="314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147"/>
      <c r="F5" s="3147"/>
      <c r="G5" s="3148"/>
      <c r="H5" s="958"/>
      <c r="R5" s="1066">
        <v>33</v>
      </c>
    </row>
    <row s="62286" customFormat="1" customHeight="1" ht="18">
      <c r="A6" s="2361"/>
      <c r="B6" s="1852"/>
      <c r="C6" s="1068"/>
      <c r="D6" s="3149" t="str">
        <f>IF(org=0,"Не определено",org)</f>
        <v>АО "ДГК"</v>
      </c>
      <c r="E6" s="3150"/>
      <c r="F6" s="3150"/>
      <c r="G6" s="3151"/>
      <c r="H6" s="958"/>
      <c r="J6" s="2316"/>
      <c r="K6" s="2316"/>
      <c r="R6" s="2323">
        <v>17</v>
      </c>
    </row>
    <row customHeight="1" ht="14.699999999999998">
      <c r="C7" s="1068"/>
      <c r="D7" s="1055"/>
      <c r="E7" s="1081"/>
      <c r="F7" s="1081"/>
      <c r="G7" s="1444"/>
      <c r="H7" s="885"/>
      <c r="R7" s="1066">
        <v>14</v>
      </c>
    </row>
    <row customHeight="1" ht="14.699999999999998">
      <c r="C8" s="1068"/>
      <c r="D8" s="2901" t="s">
        <v>375</v>
      </c>
      <c r="E8" s="2901"/>
      <c r="F8" s="2901"/>
      <c r="G8" s="2901"/>
      <c r="H8" s="3081" t="s">
        <v>376</v>
      </c>
      <c r="R8" s="1066">
        <v>14</v>
      </c>
    </row>
    <row customHeight="1" ht="24">
      <c r="C9" s="1068"/>
      <c r="D9" s="1078" t="s">
        <v>89</v>
      </c>
      <c r="E9" s="800" t="s">
        <v>377</v>
      </c>
      <c r="F9" s="800" t="s">
        <v>378</v>
      </c>
      <c r="G9" s="800" t="s">
        <v>465</v>
      </c>
      <c r="H9" s="3081"/>
      <c r="R9" s="1066">
        <v>23</v>
      </c>
    </row>
    <row customHeight="1" ht="28.5">
      <c r="A10" s="1035"/>
      <c r="C10" s="1068"/>
      <c r="D10" s="839" t="s">
        <v>118</v>
      </c>
      <c r="E10" s="257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9454" t="s">
        <v>1229</v>
      </c>
      <c r="G10" s="9455" t="s">
        <v>1230</v>
      </c>
      <c r="H10" s="2861" t="s">
        <v>1231</v>
      </c>
      <c r="R10" s="1066">
        <v>14</v>
      </c>
    </row>
    <row customHeight="1" ht="30.75">
      <c r="A11" s="1035"/>
      <c r="C11" s="1068"/>
      <c r="D11" s="839" t="s">
        <v>103</v>
      </c>
      <c r="E11" s="257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9454" t="s">
        <v>1232</v>
      </c>
      <c r="G11" s="9455" t="s">
        <v>1230</v>
      </c>
      <c r="H11" s="2862"/>
      <c r="R11" s="1066">
        <v>14</v>
      </c>
    </row>
    <row customHeight="1" ht="36.75">
      <c r="A12" s="794"/>
      <c r="C12" s="1079"/>
      <c r="D12" s="839" t="s">
        <v>91</v>
      </c>
      <c r="E12" s="1080" t="str">
        <f>"Сведения о планировании закупочных процедур"&amp;IF(TEMPLATE_SPHERE="TKO"," &lt;1&gt;","")</f>
        <v>Сведения о планировании закупочных процедур</v>
      </c>
      <c r="F12" s="9454" t="s">
        <v>1232</v>
      </c>
      <c r="G12" s="9455" t="s">
        <v>1230</v>
      </c>
      <c r="H12" s="286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1042"/>
      <c r="K12" s="1066"/>
      <c r="R12" s="1066">
        <v>14</v>
      </c>
    </row>
    <row customHeight="1" ht="32.25">
      <c r="A13" s="794"/>
      <c r="C13" s="1079"/>
      <c r="D13" s="839" t="s">
        <v>92</v>
      </c>
      <c r="E13" s="1080" t="str">
        <f>"Сведения о результатах проведения закупочных процедур"&amp;IF(TEMPLATE_SPHERE="TKO"," &lt;1&gt;","")</f>
        <v>Сведения о результатах проведения закупочных процедур</v>
      </c>
      <c r="F13" s="9454" t="s">
        <v>1232</v>
      </c>
      <c r="G13" s="9455" t="s">
        <v>1230</v>
      </c>
      <c r="H13" s="2862"/>
      <c r="I13" s="1042"/>
      <c r="K13" s="1066"/>
      <c r="R13" s="1066">
        <v>14</v>
      </c>
    </row>
    <row customHeight="1" ht="14.699999999999998">
      <c r="A14" s="1035"/>
      <c r="C14" s="1068"/>
      <c r="D14" s="1039"/>
      <c r="E14" s="1087" t="s">
        <v>397</v>
      </c>
      <c r="F14" s="1041"/>
      <c r="G14" s="893"/>
      <c r="H14" s="2863"/>
      <c r="R14" s="1066">
        <v>14</v>
      </c>
    </row>
    <row s="62286" customFormat="1" customHeight="1" ht="14.699999999999998">
      <c r="A15" s="1035"/>
      <c r="B15" s="1852"/>
      <c r="C15" s="1068"/>
      <c r="D15" s="1088"/>
      <c r="E15" s="2369"/>
      <c r="F15" s="2370"/>
      <c r="G15" s="2371"/>
      <c r="H15" s="2372"/>
      <c r="J15" s="2316"/>
      <c r="K15" s="2316"/>
      <c r="R15" s="2323">
        <v>14</v>
      </c>
    </row>
    <row customHeight="1" ht="14.699999999999998">
      <c r="D16" s="2373"/>
      <c r="E16" s="3077"/>
      <c r="F16" s="3077"/>
      <c r="G16" s="3077"/>
      <c r="H16" s="3077"/>
      <c r="R16" s="1066">
        <v>14</v>
      </c>
    </row>
    <row customHeight="1" ht="22.5" hidden="1">
      <c r="A17" s="1056" t="s">
        <v>83</v>
      </c>
      <c r="B17" s="838">
        <v>0</v>
      </c>
      <c r="C17" s="1036">
        <v>3</v>
      </c>
      <c r="D17" s="1066">
        <v>6</v>
      </c>
      <c r="E17" s="1066">
        <v>53</v>
      </c>
      <c r="F17" s="1066">
        <v>35</v>
      </c>
      <c r="G17" s="1066">
        <v>35</v>
      </c>
      <c r="H17" s="1066">
        <v>89</v>
      </c>
      <c r="I17" s="1066">
        <v>10</v>
      </c>
      <c r="J17" s="1042">
        <v>10</v>
      </c>
      <c r="K17" s="1042">
        <v>10</v>
      </c>
      <c r="L17" s="1066">
        <v>10</v>
      </c>
      <c r="M17" s="1066">
        <v>10</v>
      </c>
      <c r="N17" s="1066">
        <v>10</v>
      </c>
      <c r="O17" s="1066">
        <v>10</v>
      </c>
      <c r="P17" s="1066">
        <v>10</v>
      </c>
      <c r="Q17" s="1066">
        <v>10</v>
      </c>
      <c r="R17" s="1066">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2" tooltip="https://portal.eias.ru/Portal/DownloadPage.aspx?type=12&amp;guid=026c6f1b-2ad6-4985-a197-b2a3496ef3d1" xr:uid="{B5C94E8C-30CF-0B49-6F1B-A0D557C5C517}"/>
    <hyperlink ref="G11" r:id="rId3" tooltip="https://portal.eias.ru/Portal/DownloadPage.aspx?type=12&amp;guid=026c6f1b-2ad6-4985-a197-b2a3496ef3d1" xr:uid="{ADD40DD1-FCDE-8E44-391B-5FB336791269}"/>
    <hyperlink ref="G12" r:id="rId4" tooltip="https://portal.eias.ru/Portal/DownloadPage.aspx?type=12&amp;guid=026c6f1b-2ad6-4985-a197-b2a3496ef3d1" xr:uid="{52BC719D-45B6-DBFD-EF83-249E95E74409}"/>
    <hyperlink ref="G13" r:id="rId5" tooltip="https://portal.eias.ru/Portal/DownloadPage.aspx?type=12&amp;guid=026c6f1b-2ad6-4985-a197-b2a3496ef3d1" xr:uid="{CC5D79EF-8B96-6EC8-D5F8-FAD24E58978C}"/>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05E35D-5034-318B-AD7C-2B9ECD7FDE55}" mc:Ignorable="x14ac xr xr2 xr3">
  <sheetPr>
    <tabColor rgb="FFCCCCFF"/>
  </sheetPr>
  <dimension ref="A1:AR190"/>
  <sheetViews>
    <sheetView showGridLines="0" zoomScale="90" workbookViewId="0">
      <pane xSplit="6" ySplit="12" topLeftCell="H65" activePane="bottomRight" state="frozen"/>
      <selection pane="bottomLeft" activeCell="A13" sqref="A13"/>
      <selection pane="topRight" activeCell="G1" sqref="G1"/>
      <selection pane="bottomRight" activeCell="R42" sqref="R42:R43"/>
    </sheetView>
  </sheetViews>
  <sheetFormatPr defaultColWidth="9.140625" customHeight="1" defaultRowHeight="11.25"/>
  <cols>
    <col min="1" max="2" style="62151" width="3.7109375" hidden="1" customWidth="1"/>
    <col min="3" max="3" style="63055" width="3.00390625" customWidth="1"/>
    <col min="4" max="4" style="63055" width="6.00390625" customWidth="1"/>
    <col min="5" max="5" style="63055" width="42.00390625" customWidth="1"/>
    <col min="6" max="6" style="63055" width="15.00390625" customWidth="1"/>
    <col min="7" max="7" style="63055" width="42.00390625" customWidth="1"/>
    <col min="8" max="8" style="63055" width="3.00390625" customWidth="1"/>
    <col min="9" max="9" style="63055" width="5.00390625" customWidth="1"/>
    <col min="10" max="10" style="63055" width="47.00390625" customWidth="1"/>
    <col min="11" max="12" style="63055" width="3.00390625" customWidth="1"/>
    <col min="13" max="13" style="63055" width="5.00390625" customWidth="1"/>
    <col min="14" max="14" style="63055" width="28.00390625" customWidth="1"/>
    <col min="15" max="16" style="63055" width="3.00390625" customWidth="1"/>
    <col min="17" max="17" style="63055" width="5.00390625" customWidth="1"/>
    <col min="18" max="18" style="63055" width="34.00390625" customWidth="1"/>
    <col min="19" max="20" style="63055" width="3.7109375" customWidth="1"/>
    <col min="21" max="21" style="63055" width="5.7109375" customWidth="1"/>
    <col min="22" max="22" style="63055" width="34.421875" customWidth="1"/>
    <col min="23" max="23" style="63055" width="30.00390625" customWidth="1"/>
    <col min="24" max="24" style="63055" width="3.00390625" customWidth="1"/>
    <col min="25" max="28" style="62588" width="9.8515625" hidden="1" customWidth="1"/>
    <col min="29" max="29" style="62588" width="27.00390625" hidden="1" customWidth="1"/>
    <col min="30" max="30" style="62588" width="10.57421875" hidden="1" customWidth="1"/>
    <col min="31" max="31" style="62588" width="10.7109375" hidden="1" customWidth="1"/>
    <col min="32" max="32" style="62588" width="10.00390625" hidden="1" customWidth="1"/>
    <col min="33" max="33" style="62588" width="12.8515625" hidden="1" customWidth="1"/>
    <col min="34" max="34" style="62588" width="24.421875" hidden="1" customWidth="1"/>
    <col min="35" max="35" style="62588" width="15.8515625" hidden="1" customWidth="1"/>
    <col min="36" max="36" style="62588" width="19.421875" hidden="1" customWidth="1"/>
    <col min="37" max="37" style="62588" width="11.00390625" hidden="1" customWidth="1"/>
    <col min="38" max="38" style="62588" width="23.57421875" hidden="1" customWidth="1"/>
    <col min="39" max="39" style="62588" width="23.8515625" hidden="1" customWidth="1"/>
    <col min="40" max="40" style="62588" width="25.28125" hidden="1" customWidth="1"/>
    <col min="41" max="41" style="62588" width="16.8515625" hidden="1" customWidth="1"/>
    <col min="42" max="42" style="62588" width="29.57421875" hidden="1" customWidth="1"/>
    <col min="43" max="43" style="62588" width="29.8515625" hidden="1" customWidth="1"/>
    <col min="44" max="44" style="63055" width="9.140625" hidden="1"/>
  </cols>
  <sheetData>
    <row customHeight="1" ht="11.25" hidden="1">
      <c r="A1" s="848"/>
      <c r="AR1" s="796" t="s">
        <v>14</v>
      </c>
    </row>
    <row customHeight="1" ht="11.25" hidden="1">
      <c r="AR2" s="796">
        <v>0</v>
      </c>
    </row>
    <row customHeight="1" ht="11.25" hidden="1">
      <c r="AR3" s="796">
        <v>0</v>
      </c>
    </row>
    <row customHeight="1" ht="3">
      <c r="AR4" s="796">
        <v>3</v>
      </c>
    </row>
    <row s="57710" customFormat="1" customHeight="1" ht="30.45">
      <c r="A5" s="846"/>
      <c r="B5" s="846"/>
      <c r="D5" s="28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850"/>
      <c r="F5" s="2850"/>
      <c r="G5" s="2850"/>
      <c r="H5" s="2850"/>
      <c r="I5" s="2850"/>
      <c r="J5" s="2851"/>
      <c r="K5" s="957"/>
      <c r="L5" s="834"/>
      <c r="M5" s="834"/>
      <c r="N5" s="834"/>
      <c r="O5" s="834"/>
      <c r="P5" s="834"/>
      <c r="Q5" s="834"/>
      <c r="R5" s="834"/>
      <c r="S5" s="982"/>
      <c r="T5" s="982"/>
      <c r="U5" s="982"/>
      <c r="V5" s="982"/>
      <c r="W5" s="834"/>
      <c r="Y5" s="1952"/>
      <c r="Z5" s="1952"/>
      <c r="AA5" s="1952"/>
      <c r="AB5" s="1952"/>
      <c r="AC5" s="1952"/>
      <c r="AD5" s="1952"/>
      <c r="AE5" s="1952"/>
      <c r="AF5" s="1952"/>
      <c r="AG5" s="1952"/>
      <c r="AH5" s="1952"/>
      <c r="AI5" s="1952"/>
      <c r="AJ5" s="1952"/>
      <c r="AK5" s="1952"/>
      <c r="AL5" s="1952"/>
      <c r="AM5" s="1952"/>
      <c r="AN5" s="1952"/>
      <c r="AO5" s="1952"/>
      <c r="AP5" s="1952"/>
      <c r="AQ5" s="1952"/>
      <c r="AR5" s="803">
        <v>29</v>
      </c>
    </row>
    <row s="57710" customFormat="1" customHeight="1" ht="14.699999999999998">
      <c r="A6" s="1277"/>
      <c r="B6" s="1277"/>
      <c r="C6" s="1277"/>
      <c r="D6" s="2855" t="str">
        <f>IF(org=0,"Не определено",org)</f>
        <v>АО "ДГК"</v>
      </c>
      <c r="E6" s="2855"/>
      <c r="F6" s="2855"/>
      <c r="G6" s="2855"/>
      <c r="H6" s="2855"/>
      <c r="I6" s="2855"/>
      <c r="J6" s="2855"/>
      <c r="K6" s="1278"/>
      <c r="L6" s="1278"/>
      <c r="M6" s="1278"/>
      <c r="N6" s="1278"/>
      <c r="O6" s="1562"/>
      <c r="P6" s="1562"/>
      <c r="Q6" s="1562"/>
      <c r="R6" s="1562"/>
      <c r="S6" s="1562"/>
      <c r="T6" s="1562"/>
      <c r="U6" s="1562"/>
      <c r="V6" s="1562"/>
      <c r="W6" s="1562"/>
      <c r="X6" s="1278"/>
      <c r="Y6" s="1953"/>
      <c r="Z6" s="1953"/>
      <c r="AA6" s="1953"/>
      <c r="AB6" s="1953"/>
      <c r="AC6" s="1953"/>
      <c r="AD6" s="1953"/>
      <c r="AE6" s="1953"/>
      <c r="AF6" s="1953"/>
      <c r="AG6" s="1953"/>
      <c r="AH6" s="1953"/>
      <c r="AI6" s="1953"/>
      <c r="AJ6" s="1953"/>
      <c r="AK6" s="1953"/>
      <c r="AL6" s="1953"/>
      <c r="AM6" s="1953"/>
      <c r="AN6" s="1953"/>
      <c r="AO6" s="1953"/>
      <c r="AP6" s="1953"/>
      <c r="AQ6" s="1953"/>
      <c r="AR6" s="1279">
        <v>14</v>
      </c>
    </row>
    <row s="57708" customFormat="1" customHeight="1" ht="11.549999999999999">
      <c r="A7" s="903"/>
      <c r="B7" s="903"/>
      <c r="D7" s="2852"/>
      <c r="E7" s="2853"/>
      <c r="F7" s="2853"/>
      <c r="G7" s="2853"/>
      <c r="H7" s="2853"/>
      <c r="I7" s="2853"/>
      <c r="J7" s="2854"/>
      <c r="S7" s="991"/>
      <c r="T7" s="991"/>
      <c r="U7" s="991"/>
      <c r="V7" s="991"/>
      <c r="Y7" s="1954"/>
      <c r="Z7" s="1954"/>
      <c r="AA7" s="1954"/>
      <c r="AB7" s="1954"/>
      <c r="AC7" s="1954"/>
      <c r="AD7" s="1954"/>
      <c r="AE7" s="1954"/>
      <c r="AF7" s="1954"/>
      <c r="AG7" s="1954"/>
      <c r="AH7" s="1954"/>
      <c r="AI7" s="1954"/>
      <c r="AJ7" s="1954"/>
      <c r="AK7" s="1954"/>
      <c r="AL7" s="1954"/>
      <c r="AM7" s="1954"/>
      <c r="AN7" s="1954"/>
      <c r="AO7" s="1954"/>
      <c r="AP7" s="1954"/>
      <c r="AQ7" s="1954"/>
      <c r="AR7" s="968">
        <v>11</v>
      </c>
    </row>
    <row s="57710" customFormat="1" customHeight="1" ht="1.05">
      <c r="A8" s="846"/>
      <c r="B8" s="846"/>
      <c r="D8" s="904"/>
      <c r="E8" s="904"/>
      <c r="F8" s="904"/>
      <c r="G8" s="904"/>
      <c r="H8" s="904"/>
      <c r="I8" s="904"/>
      <c r="J8" s="904"/>
      <c r="K8" s="904"/>
      <c r="L8" s="904"/>
      <c r="M8" s="904"/>
      <c r="N8" s="904"/>
      <c r="O8" s="904"/>
      <c r="P8" s="904"/>
      <c r="Q8" s="904"/>
      <c r="R8" s="904"/>
      <c r="S8" s="904"/>
      <c r="T8" s="904"/>
      <c r="U8" s="904"/>
      <c r="V8" s="904"/>
      <c r="W8" s="904"/>
      <c r="X8" s="824"/>
      <c r="Y8" s="1952"/>
      <c r="Z8" s="1952"/>
      <c r="AA8" s="1952"/>
      <c r="AB8" s="1952"/>
      <c r="AC8" s="1952"/>
      <c r="AD8" s="1952"/>
      <c r="AE8" s="1952"/>
      <c r="AF8" s="1952"/>
      <c r="AG8" s="1952"/>
      <c r="AH8" s="1952"/>
      <c r="AI8" s="1952"/>
      <c r="AJ8" s="1952"/>
      <c r="AK8" s="1952"/>
      <c r="AL8" s="1952"/>
      <c r="AM8" s="1952"/>
      <c r="AN8" s="1952"/>
      <c r="AO8" s="1952"/>
      <c r="AP8" s="1952"/>
      <c r="AQ8" s="1952"/>
      <c r="AR8" s="803">
        <v>1</v>
      </c>
    </row>
    <row customHeight="1" ht="28.5">
      <c r="D9" s="2819" t="s">
        <v>89</v>
      </c>
      <c r="E9" s="2793" t="s">
        <v>130</v>
      </c>
      <c r="F9" s="2795"/>
      <c r="G9" s="2819" t="s">
        <v>114</v>
      </c>
      <c r="H9" s="2819" t="s">
        <v>89</v>
      </c>
      <c r="I9" s="2819"/>
      <c r="J9" s="2819" t="s">
        <v>131</v>
      </c>
      <c r="K9" s="2847" t="s">
        <v>132</v>
      </c>
      <c r="L9" s="2847"/>
      <c r="M9" s="2847"/>
      <c r="N9" s="2847"/>
      <c r="O9" s="2847" t="s">
        <v>133</v>
      </c>
      <c r="P9" s="2847"/>
      <c r="Q9" s="2847"/>
      <c r="R9" s="2847"/>
      <c r="S9" s="2847" t="s">
        <v>134</v>
      </c>
      <c r="T9" s="2847"/>
      <c r="U9" s="2847"/>
      <c r="V9" s="2847"/>
      <c r="W9" s="2819" t="s">
        <v>135</v>
      </c>
      <c r="AR9" s="796">
        <v>27</v>
      </c>
    </row>
    <row customHeight="1" ht="31.5">
      <c r="D10" s="2819"/>
      <c r="E10" s="1976" t="s">
        <v>90</v>
      </c>
      <c r="F10" s="1976" t="s">
        <v>136</v>
      </c>
      <c r="G10" s="2819"/>
      <c r="H10" s="2819"/>
      <c r="I10" s="2819"/>
      <c r="J10" s="2819"/>
      <c r="K10" s="802" t="s">
        <v>117</v>
      </c>
      <c r="L10" s="2819" t="s">
        <v>89</v>
      </c>
      <c r="M10" s="2819"/>
      <c r="N10" s="802" t="s">
        <v>137</v>
      </c>
      <c r="O10" s="802" t="s">
        <v>117</v>
      </c>
      <c r="P10" s="2819" t="s">
        <v>89</v>
      </c>
      <c r="Q10" s="2819"/>
      <c r="R10" s="802" t="s">
        <v>137</v>
      </c>
      <c r="S10" s="975" t="s">
        <v>117</v>
      </c>
      <c r="T10" s="2819" t="s">
        <v>89</v>
      </c>
      <c r="U10" s="2819"/>
      <c r="V10" s="975" t="s">
        <v>90</v>
      </c>
      <c r="W10" s="2819"/>
      <c r="Z10" s="1951" t="s">
        <v>138</v>
      </c>
      <c r="AA10" s="1951" t="s">
        <v>139</v>
      </c>
      <c r="AB10" s="1951" t="s">
        <v>140</v>
      </c>
      <c r="AC10" s="1951" t="s">
        <v>141</v>
      </c>
      <c r="AD10" s="1951" t="s">
        <v>142</v>
      </c>
      <c r="AE10" s="1951" t="s">
        <v>143</v>
      </c>
      <c r="AF10" s="1951" t="s">
        <v>144</v>
      </c>
      <c r="AG10" s="1951" t="s">
        <v>145</v>
      </c>
      <c r="AH10" s="1951" t="s">
        <v>146</v>
      </c>
      <c r="AI10" s="1951" t="s">
        <v>147</v>
      </c>
      <c r="AJ10" s="1951" t="s">
        <v>148</v>
      </c>
      <c r="AK10" s="1951" t="s">
        <v>149</v>
      </c>
      <c r="AL10" s="1951" t="s">
        <v>150</v>
      </c>
      <c r="AM10" s="1951" t="s">
        <v>151</v>
      </c>
      <c r="AN10" s="1951" t="s">
        <v>152</v>
      </c>
      <c r="AO10" s="1951" t="s">
        <v>153</v>
      </c>
      <c r="AP10" s="1951" t="s">
        <v>154</v>
      </c>
      <c r="AQ10" s="1951" t="s">
        <v>155</v>
      </c>
      <c r="AR10" s="796">
        <v>30</v>
      </c>
    </row>
    <row s="62151" customFormat="1" customHeight="1" ht="12" hidden="1">
      <c r="D11" s="1941" t="s">
        <v>118</v>
      </c>
      <c r="E11" s="1941" t="s">
        <v>103</v>
      </c>
      <c r="F11" s="1941"/>
      <c r="G11" s="1941" t="s">
        <v>91</v>
      </c>
      <c r="H11" s="2848" t="s">
        <v>119</v>
      </c>
      <c r="I11" s="2848"/>
      <c r="J11" s="1941" t="s">
        <v>93</v>
      </c>
      <c r="K11" s="1941" t="s">
        <v>94</v>
      </c>
      <c r="L11" s="2848" t="s">
        <v>120</v>
      </c>
      <c r="M11" s="2848"/>
      <c r="N11" s="1941" t="s">
        <v>156</v>
      </c>
      <c r="O11" s="1941" t="s">
        <v>157</v>
      </c>
      <c r="P11" s="2848" t="s">
        <v>158</v>
      </c>
      <c r="Q11" s="2848"/>
      <c r="R11" s="1941" t="s">
        <v>159</v>
      </c>
      <c r="S11" s="1941" t="s">
        <v>158</v>
      </c>
      <c r="T11" s="2848" t="s">
        <v>159</v>
      </c>
      <c r="U11" s="2848"/>
      <c r="V11" s="1941" t="s">
        <v>160</v>
      </c>
      <c r="W11" s="1941" t="s">
        <v>161</v>
      </c>
      <c r="Y11" s="1951"/>
      <c r="Z11" s="1951"/>
      <c r="AA11" s="1951"/>
      <c r="AB11" s="1951"/>
      <c r="AC11" s="1951"/>
      <c r="AD11" s="1951"/>
      <c r="AE11" s="1951"/>
      <c r="AF11" s="1951"/>
      <c r="AG11" s="1951"/>
      <c r="AH11" s="1951"/>
      <c r="AI11" s="1951"/>
      <c r="AJ11" s="1951"/>
      <c r="AK11" s="1951"/>
      <c r="AL11" s="1951"/>
      <c r="AM11" s="1951"/>
      <c r="AN11" s="1951"/>
      <c r="AO11" s="1951"/>
      <c r="AP11" s="1951"/>
      <c r="AQ11" s="1951"/>
      <c r="AR11" s="969">
        <v>0</v>
      </c>
    </row>
    <row customHeight="1" ht="14.25" hidden="1">
      <c r="C12" s="901"/>
      <c r="D12" s="1974">
        <v>0</v>
      </c>
      <c r="E12" s="942"/>
      <c r="F12" s="942"/>
      <c r="G12" s="942"/>
      <c r="H12" s="943"/>
      <c r="I12" s="943"/>
      <c r="J12" s="850"/>
      <c r="K12" s="804"/>
      <c r="L12" s="850"/>
      <c r="M12" s="850"/>
      <c r="N12" s="944"/>
      <c r="O12" s="804"/>
      <c r="P12" s="850"/>
      <c r="Q12" s="850"/>
      <c r="R12" s="945"/>
      <c r="S12" s="976"/>
      <c r="T12" s="984"/>
      <c r="U12" s="984"/>
      <c r="V12" s="988"/>
      <c r="W12" s="804"/>
      <c r="X12" s="833"/>
      <c r="AR12" s="796">
        <v>0</v>
      </c>
    </row>
    <row s="63055" customFormat="1" customHeight="1" ht="17.25">
      <c r="A13" s="1013"/>
      <c r="C13" s="901"/>
      <c r="D13" s="2827">
        <v>1</v>
      </c>
      <c r="E13" s="2835" t="s">
        <v>162</v>
      </c>
      <c r="F13" s="2837" t="s">
        <v>67</v>
      </c>
      <c r="G13" s="22342"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2343"/>
      <c r="I13" s="22343">
        <v>1</v>
      </c>
      <c r="J13" s="22344" t="s">
        <v>163</v>
      </c>
      <c r="K13" s="22345" t="s">
        <v>67</v>
      </c>
      <c r="L13" s="22346"/>
      <c r="M13" s="22346" t="s">
        <v>118</v>
      </c>
      <c r="N13" s="22347" t="str">
        <f>IF(Z13="","",INDEX(TERRITORY_MR_LIST,MATCH(Z13,TERRITORY_LIST_ID,0)))</f>
        <v>Территория 1</v>
      </c>
      <c r="O13" s="22345" t="s">
        <v>19</v>
      </c>
      <c r="P13" s="22346"/>
      <c r="Q13" s="22346" t="s">
        <v>118</v>
      </c>
      <c r="R13" s="22348" t="s">
        <v>28</v>
      </c>
      <c r="S13" s="22349" t="s">
        <v>67</v>
      </c>
      <c r="T13" s="22346"/>
      <c r="U13" s="22346" t="s">
        <v>118</v>
      </c>
      <c r="V13" s="22350" t="s">
        <v>164</v>
      </c>
      <c r="W13" s="22344"/>
      <c r="Y13" s="1959"/>
      <c r="Z13" s="1959" t="s">
        <v>99</v>
      </c>
      <c r="AA13" s="1959"/>
      <c r="AB13" s="1959" t="s">
        <v>165</v>
      </c>
      <c r="AC13" s="1959" t="s">
        <v>166</v>
      </c>
      <c r="AD13" s="1959" t="s">
        <v>167</v>
      </c>
      <c r="AE13" s="1959" t="s">
        <v>168</v>
      </c>
      <c r="AF13" s="1959" t="s">
        <v>169</v>
      </c>
      <c r="AG13" s="1959" t="s">
        <v>170</v>
      </c>
      <c r="AH13" s="195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959" t="str">
        <f>IF($G$13=0,"",$G$13)</f>
        <v>Производство тепловой энергии. Комбинированная выработка с уст. мощностью производства электрической энергии 25 МВт и более</v>
      </c>
      <c r="AJ13" s="1959" t="str">
        <f>IF($J$13=0,"",$J$13)</f>
        <v>Тариф на тепловую энергию (мощность) на коллекторах источников тепловой энергии на территории Артемовского городского округа Приморского края</v>
      </c>
      <c r="AK13" s="1959" t="str">
        <f>IF($K$13="нет","без дифференциации",IF($N$13=0,"",$N$13))</f>
        <v>Территория 1</v>
      </c>
      <c r="AL13" s="1959" t="str">
        <f>IF($O$13="нет","без дифференциации",IF($R$13=0,"",$R$13))</f>
        <v>без дифференциации</v>
      </c>
      <c r="AM13" s="1959" t="str">
        <f>IF($S$13="нет","без дифференциации",IF($V$13=0,"",$V$13))</f>
        <v>Артемовская ТЭЦ</v>
      </c>
      <c r="AN13" s="1959">
        <f>$I$13</f>
        <v>1</v>
      </c>
      <c r="AO13" s="1959" t="str">
        <f>$I$13&amp;"."&amp;$M$13</f>
        <v>1.1</v>
      </c>
      <c r="AP13" s="1959" t="str">
        <f>$I$13&amp;"."&amp;$M$13&amp;"."&amp;$Q$13</f>
        <v>1.1.1</v>
      </c>
      <c r="AQ13" s="1959" t="str">
        <f>$I$13&amp;"."&amp;$M$13&amp;"."&amp;$Q$13&amp;"."&amp;$U$13</f>
        <v>1.1.1.1</v>
      </c>
      <c r="AR13" s="1442">
        <v>0</v>
      </c>
    </row>
    <row s="63055" customFormat="1" customHeight="1" ht="17.25">
      <c r="A14" s="1013"/>
      <c r="C14" s="1012"/>
      <c r="D14" s="2827"/>
      <c r="E14" s="2835"/>
      <c r="F14" s="2838"/>
      <c r="G14" s="22342"/>
      <c r="H14" s="22343"/>
      <c r="I14" s="22343"/>
      <c r="J14" s="22344"/>
      <c r="K14" s="22355"/>
      <c r="L14" s="22346"/>
      <c r="M14" s="22346"/>
      <c r="N14" s="22347"/>
      <c r="O14" s="22355"/>
      <c r="P14" s="22346"/>
      <c r="Q14" s="22346"/>
      <c r="R14" s="22348" t="s">
        <v>28</v>
      </c>
      <c r="S14" s="22349"/>
      <c r="T14" s="22356"/>
      <c r="U14" s="22357"/>
      <c r="V14" s="22358" t="s">
        <v>171</v>
      </c>
      <c r="W14" s="22359"/>
      <c r="Y14" s="1951"/>
      <c r="Z14" s="1951"/>
      <c r="AA14" s="1951"/>
      <c r="AB14" s="1951"/>
      <c r="AC14" s="1951"/>
      <c r="AD14" s="1951"/>
      <c r="AE14" s="1951"/>
      <c r="AF14" s="1951"/>
      <c r="AG14" s="1951"/>
      <c r="AH14" s="1951"/>
      <c r="AI14" s="1951"/>
      <c r="AJ14" s="1951"/>
      <c r="AK14" s="1951"/>
      <c r="AL14" s="1951"/>
      <c r="AM14" s="1951"/>
      <c r="AN14" s="1951"/>
      <c r="AO14" s="1951"/>
      <c r="AP14" s="1951"/>
      <c r="AQ14" s="1951"/>
      <c r="AR14" s="1442">
        <v>0</v>
      </c>
    </row>
    <row s="63055" customFormat="1" customHeight="1" ht="17.25">
      <c r="A15" s="1013"/>
      <c r="C15" s="901"/>
      <c r="D15" s="2827"/>
      <c r="E15" s="2835"/>
      <c r="F15" s="2838"/>
      <c r="G15" s="22342"/>
      <c r="H15" s="22360"/>
      <c r="I15" s="22360"/>
      <c r="J15" s="22361"/>
      <c r="K15" s="22355"/>
      <c r="L15" s="22360"/>
      <c r="M15" s="22360"/>
      <c r="N15" s="22362"/>
      <c r="O15" s="22363"/>
      <c r="P15" s="22364"/>
      <c r="Q15" s="22365"/>
      <c r="R15" s="22366" t="s">
        <v>172</v>
      </c>
      <c r="S15" s="22367"/>
      <c r="T15" s="22368"/>
      <c r="U15" s="22369"/>
      <c r="V15" s="22370"/>
      <c r="W15" s="22371"/>
      <c r="Y15" s="1959"/>
      <c r="Z15" s="1959"/>
      <c r="AA15" s="1959"/>
      <c r="AB15" s="1959"/>
      <c r="AC15" s="1959"/>
      <c r="AD15" s="1959"/>
      <c r="AE15" s="1959"/>
      <c r="AF15" s="1959"/>
      <c r="AG15" s="1959"/>
      <c r="AH15" s="1959"/>
      <c r="AI15" s="1959"/>
      <c r="AJ15" s="1959"/>
      <c r="AK15" s="1959"/>
      <c r="AL15" s="1959"/>
      <c r="AM15" s="1959"/>
      <c r="AN15" s="1959"/>
      <c r="AO15" s="1959"/>
      <c r="AP15" s="1959"/>
      <c r="AQ15" s="1959"/>
      <c r="AR15" s="2109">
        <v>0</v>
      </c>
    </row>
    <row s="63055" customFormat="1" customHeight="1" ht="17.25">
      <c r="A16" s="1013"/>
      <c r="C16" s="1012"/>
      <c r="D16" s="2827"/>
      <c r="E16" s="2835"/>
      <c r="F16" s="2838"/>
      <c r="G16" s="22342"/>
      <c r="H16" s="22360"/>
      <c r="I16" s="22360"/>
      <c r="J16" s="22361"/>
      <c r="K16" s="22363"/>
      <c r="L16" s="22373"/>
      <c r="M16" s="22374"/>
      <c r="N16" s="22375" t="s">
        <v>173</v>
      </c>
      <c r="O16" s="22376"/>
      <c r="P16" s="22377"/>
      <c r="Q16" s="22378"/>
      <c r="R16" s="22379"/>
      <c r="S16" s="22380"/>
      <c r="T16" s="22381"/>
      <c r="U16" s="22382"/>
      <c r="V16" s="22383"/>
      <c r="W16" s="22384"/>
      <c r="Y16" s="1951"/>
      <c r="Z16" s="1951"/>
      <c r="AA16" s="1951"/>
      <c r="AB16" s="1951"/>
      <c r="AC16" s="1951"/>
      <c r="AD16" s="1951"/>
      <c r="AE16" s="1951"/>
      <c r="AF16" s="1951"/>
      <c r="AG16" s="1951"/>
      <c r="AH16" s="1951"/>
      <c r="AI16" s="1951"/>
      <c r="AJ16" s="1951"/>
      <c r="AK16" s="1951"/>
      <c r="AL16" s="1951"/>
      <c r="AM16" s="1951"/>
      <c r="AN16" s="1951"/>
      <c r="AO16" s="1951"/>
      <c r="AP16" s="1951"/>
      <c r="AQ16" s="1951"/>
      <c r="AR16" s="2109">
        <v>0</v>
      </c>
    </row>
    <row customHeight="1" ht="17.25">
      <c r="A17" s="2532"/>
      <c r="B17" s="22386"/>
      <c r="C17" s="2534"/>
      <c r="D17" s="2522"/>
      <c r="E17" s="2539"/>
      <c r="F17" s="2476"/>
      <c r="G17" s="2540"/>
      <c r="H17" s="3221" t="s">
        <v>104</v>
      </c>
      <c r="I17" s="3221" t="s">
        <v>103</v>
      </c>
      <c r="J17" s="3193" t="s">
        <v>174</v>
      </c>
      <c r="K17" s="2877" t="s">
        <v>67</v>
      </c>
      <c r="L17" s="2800"/>
      <c r="M17" s="2800" t="s">
        <v>118</v>
      </c>
      <c r="N17" s="3196" t="str">
        <f>IF(Z17="","",INDEX(TERRITORY_MR_LIST,MATCH(Z17,TERRITORY_LIST_ID,0)))</f>
        <v>Территория 2</v>
      </c>
      <c r="O17" s="2877" t="s">
        <v>19</v>
      </c>
      <c r="P17" s="2800"/>
      <c r="Q17" s="2800" t="s">
        <v>118</v>
      </c>
      <c r="R17" s="22396" t="s">
        <v>28</v>
      </c>
      <c r="S17" s="2799" t="s">
        <v>67</v>
      </c>
      <c r="T17" s="2503"/>
      <c r="U17" s="2503" t="s">
        <v>118</v>
      </c>
      <c r="V17" s="2535" t="s">
        <v>175</v>
      </c>
      <c r="W17" s="2493"/>
      <c r="X17" s="22386"/>
      <c r="Y17" s="1959"/>
      <c r="Z17" s="1959" t="s">
        <v>105</v>
      </c>
      <c r="AA17" s="1959"/>
      <c r="AB17" s="1959"/>
      <c r="AC17" s="22400" t="s">
        <v>166</v>
      </c>
      <c r="AD17" s="1959" t="s">
        <v>176</v>
      </c>
      <c r="AE17" s="1959" t="s">
        <v>177</v>
      </c>
      <c r="AF17" s="1959" t="s">
        <v>178</v>
      </c>
      <c r="AG17" s="1959" t="s">
        <v>179</v>
      </c>
      <c r="AH17" s="195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7" s="1959" t="str">
        <f>IF($G$13=0,"",$G$13)</f>
        <v>Производство тепловой энергии. Комбинированная выработка с уст. мощностью производства электрической энергии 25 МВт и более</v>
      </c>
      <c r="AJ17" s="1959" t="str">
        <f>IF($J$17=0,"",$J$17)</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AK17" s="1959" t="str">
        <f>IF($K$17="нет","без дифференциации",IF($N$17=0,"",$N$17))</f>
        <v>Территория 2</v>
      </c>
      <c r="AL17" s="2536" t="str">
        <f>IF($O$17="нет","без дифференциации",IF($R$17=0,"",$R$17))</f>
        <v>без дифференциации</v>
      </c>
      <c r="AM17" s="2536" t="str">
        <f>IF($S$17="нет","без дифференциации",IF($V$17=0,"",$V$17))</f>
        <v>ТЭЦ Восточная</v>
      </c>
      <c r="AN17" s="1959" t="str">
        <f>$I$17</f>
        <v>2</v>
      </c>
      <c r="AO17" s="1959" t="str">
        <f>$I$17&amp;"."&amp;$M$17</f>
        <v>2.1</v>
      </c>
      <c r="AP17" s="1959" t="str">
        <f>$I$17&amp;"."&amp;$M$17&amp;"."&amp;$Q$17</f>
        <v>2.1.1</v>
      </c>
      <c r="AQ17" s="1959" t="str">
        <f>$I$17&amp;"."&amp;$M$17&amp;"."&amp;$Q$17&amp;"."&amp;$U$17</f>
        <v>2.1.1.1</v>
      </c>
      <c r="AR17" s="22386"/>
    </row>
    <row customHeight="1" ht="17.25">
      <c r="A18" s="2532"/>
      <c r="B18" s="22386"/>
      <c r="C18" s="2537"/>
      <c r="D18" s="2522"/>
      <c r="E18" s="2539"/>
      <c r="F18" s="2476"/>
      <c r="G18" s="2540"/>
      <c r="H18" s="3221"/>
      <c r="I18" s="3221"/>
      <c r="J18" s="3193"/>
      <c r="K18" s="2878"/>
      <c r="L18" s="2800"/>
      <c r="M18" s="2800"/>
      <c r="N18" s="3196"/>
      <c r="O18" s="2878"/>
      <c r="P18" s="2800"/>
      <c r="Q18" s="2800"/>
      <c r="R18" s="22396" t="s">
        <v>28</v>
      </c>
      <c r="S18" s="2799"/>
      <c r="T18" s="1009"/>
      <c r="U18" s="1010"/>
      <c r="V18" s="1010" t="s">
        <v>171</v>
      </c>
      <c r="W18" s="1011"/>
      <c r="X18" s="22386"/>
      <c r="Y18" s="1951"/>
      <c r="Z18" s="1951"/>
      <c r="AA18" s="1951"/>
      <c r="AB18" s="1951"/>
      <c r="AC18" s="1951"/>
      <c r="AD18" s="1951"/>
      <c r="AE18" s="1951"/>
      <c r="AF18" s="1951"/>
      <c r="AG18" s="1951"/>
      <c r="AH18" s="1951"/>
      <c r="AI18" s="1951"/>
      <c r="AJ18" s="1951"/>
      <c r="AK18" s="1951"/>
      <c r="AL18" s="22386"/>
      <c r="AM18" s="22386"/>
      <c r="AN18" s="22386"/>
      <c r="AO18" s="22386"/>
      <c r="AP18" s="22386"/>
      <c r="AQ18" s="22386"/>
      <c r="AR18" s="22386"/>
    </row>
    <row customHeight="1" ht="17.25">
      <c r="A19" s="2532"/>
      <c r="B19" s="22386"/>
      <c r="C19" s="2537"/>
      <c r="D19" s="2522"/>
      <c r="E19" s="2539"/>
      <c r="F19" s="2476"/>
      <c r="G19" s="2540"/>
      <c r="H19" s="3195"/>
      <c r="I19" s="3195"/>
      <c r="J19" s="3225"/>
      <c r="K19" s="2878"/>
      <c r="L19" s="3195"/>
      <c r="M19" s="3195"/>
      <c r="N19" s="3197"/>
      <c r="O19" s="2804"/>
      <c r="P19" s="1009"/>
      <c r="Q19" s="1010"/>
      <c r="R19" s="1010" t="s">
        <v>172</v>
      </c>
      <c r="S19" s="2538"/>
      <c r="T19" s="2538"/>
      <c r="U19" s="2538"/>
      <c r="V19" s="2538"/>
      <c r="W19" s="1011"/>
      <c r="X19" s="22386"/>
      <c r="Y19" s="1951"/>
      <c r="Z19" s="1951"/>
      <c r="AA19" s="1951"/>
      <c r="AB19" s="1951"/>
      <c r="AC19" s="1951"/>
      <c r="AD19" s="1951"/>
      <c r="AE19" s="1951"/>
      <c r="AF19" s="1951"/>
      <c r="AG19" s="1951"/>
      <c r="AH19" s="1951"/>
      <c r="AI19" s="1951"/>
      <c r="AJ19" s="1951"/>
      <c r="AK19" s="1951"/>
      <c r="AL19" s="22386"/>
      <c r="AM19" s="22386"/>
      <c r="AN19" s="22386"/>
      <c r="AO19" s="22386"/>
      <c r="AP19" s="22386"/>
      <c r="AQ19" s="22386"/>
      <c r="AR19" s="22386"/>
    </row>
    <row customHeight="1" ht="17.25">
      <c r="A20" s="2532"/>
      <c r="B20" s="22386"/>
      <c r="C20" s="2537"/>
      <c r="D20" s="2522"/>
      <c r="E20" s="2539"/>
      <c r="F20" s="2476"/>
      <c r="G20" s="2540"/>
      <c r="H20" s="3195"/>
      <c r="I20" s="3195"/>
      <c r="J20" s="3225"/>
      <c r="K20" s="2804"/>
      <c r="L20" s="1009"/>
      <c r="M20" s="1010"/>
      <c r="N20" s="1010" t="s">
        <v>173</v>
      </c>
      <c r="O20" s="1010"/>
      <c r="P20" s="1010"/>
      <c r="Q20" s="1010"/>
      <c r="R20" s="1010"/>
      <c r="S20" s="2538"/>
      <c r="T20" s="2538"/>
      <c r="U20" s="2538"/>
      <c r="V20" s="2538"/>
      <c r="W20" s="1011"/>
      <c r="X20" s="22386"/>
      <c r="Y20" s="1951"/>
      <c r="Z20" s="1951"/>
      <c r="AA20" s="1951"/>
      <c r="AB20" s="1951"/>
      <c r="AC20" s="1951"/>
      <c r="AD20" s="1951"/>
      <c r="AE20" s="1951"/>
      <c r="AF20" s="1951"/>
      <c r="AG20" s="1951"/>
      <c r="AH20" s="1951"/>
      <c r="AI20" s="1951"/>
      <c r="AJ20" s="1951"/>
      <c r="AK20" s="1951"/>
      <c r="AL20" s="22386"/>
      <c r="AM20" s="22386"/>
      <c r="AN20" s="22386"/>
      <c r="AO20" s="22386"/>
      <c r="AP20" s="22386"/>
      <c r="AQ20" s="22386"/>
      <c r="AR20" s="22386"/>
    </row>
    <row customHeight="1" ht="17.25">
      <c r="A21" s="2532"/>
      <c r="B21" s="22386"/>
      <c r="C21" s="2534"/>
      <c r="D21" s="2522"/>
      <c r="E21" s="2539"/>
      <c r="F21" s="2476"/>
      <c r="G21" s="2540"/>
      <c r="H21" s="3221" t="s">
        <v>104</v>
      </c>
      <c r="I21" s="3221" t="s">
        <v>91</v>
      </c>
      <c r="J21" s="3193" t="s">
        <v>180</v>
      </c>
      <c r="K21" s="2877" t="s">
        <v>67</v>
      </c>
      <c r="L21" s="2800"/>
      <c r="M21" s="2800" t="s">
        <v>118</v>
      </c>
      <c r="N21" s="3196" t="str">
        <f>IF(Z21="","",INDEX(TERRITORY_MR_LIST,MATCH(Z21,TERRITORY_LIST_ID,0)))</f>
        <v>Территория 3</v>
      </c>
      <c r="O21" s="2877" t="s">
        <v>19</v>
      </c>
      <c r="P21" s="2800"/>
      <c r="Q21" s="2800" t="s">
        <v>118</v>
      </c>
      <c r="R21" s="22396" t="s">
        <v>28</v>
      </c>
      <c r="S21" s="2799" t="s">
        <v>67</v>
      </c>
      <c r="T21" s="2503"/>
      <c r="U21" s="2503" t="s">
        <v>118</v>
      </c>
      <c r="V21" s="2535" t="s">
        <v>181</v>
      </c>
      <c r="W21" s="2493"/>
      <c r="X21" s="22386"/>
      <c r="Y21" s="1959"/>
      <c r="Z21" s="1959" t="s">
        <v>108</v>
      </c>
      <c r="AA21" s="1959"/>
      <c r="AB21" s="1959"/>
      <c r="AC21" s="22400" t="s">
        <v>166</v>
      </c>
      <c r="AD21" s="1959" t="s">
        <v>182</v>
      </c>
      <c r="AE21" s="1959" t="s">
        <v>183</v>
      </c>
      <c r="AF21" s="1959" t="s">
        <v>184</v>
      </c>
      <c r="AG21" s="1959" t="s">
        <v>185</v>
      </c>
      <c r="AH21" s="195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1" s="1959" t="str">
        <f>IF($G$13=0,"",$G$13)</f>
        <v>Производство тепловой энергии. Комбинированная выработка с уст. мощностью производства электрической энергии 25 МВт и более</v>
      </c>
      <c r="AJ21" s="1959" t="str">
        <f>IF($J$21=0,"",$J$21)</f>
        <v>Тариф на тепловую энергию (мощность) на коллекторах источников тепловой энергии на территории Партизанского городского округа Приморского края</v>
      </c>
      <c r="AK21" s="1959" t="str">
        <f>IF($K$21="нет","без дифференциации",IF($N$21=0,"",$N$21))</f>
        <v>Территория 3</v>
      </c>
      <c r="AL21" s="2536" t="str">
        <f>IF($O$21="нет","без дифференциации",IF($R$21=0,"",$R$21))</f>
        <v>без дифференциации</v>
      </c>
      <c r="AM21" s="2536" t="str">
        <f>IF($S$21="нет","без дифференциации",IF($V$21=0,"",$V$21))</f>
        <v>Партизанская ГРЭС</v>
      </c>
      <c r="AN21" s="1959" t="str">
        <f>$I$21</f>
        <v>3</v>
      </c>
      <c r="AO21" s="1959" t="str">
        <f>$I$21&amp;"."&amp;$M$21</f>
        <v>3.1</v>
      </c>
      <c r="AP21" s="1959" t="str">
        <f>$I$21&amp;"."&amp;$M$21&amp;"."&amp;$Q$21</f>
        <v>3.1.1</v>
      </c>
      <c r="AQ21" s="1959" t="str">
        <f>$I$21&amp;"."&amp;$M$21&amp;"."&amp;$Q$21&amp;"."&amp;$U$21</f>
        <v>3.1.1.1</v>
      </c>
      <c r="AR21" s="22386"/>
    </row>
    <row customHeight="1" ht="17.25">
      <c r="A22" s="2532"/>
      <c r="B22" s="22386"/>
      <c r="C22" s="2537"/>
      <c r="D22" s="2522"/>
      <c r="E22" s="2539"/>
      <c r="F22" s="2476"/>
      <c r="G22" s="2540"/>
      <c r="H22" s="3221"/>
      <c r="I22" s="3221"/>
      <c r="J22" s="3193"/>
      <c r="K22" s="2878"/>
      <c r="L22" s="2800"/>
      <c r="M22" s="2800"/>
      <c r="N22" s="3196"/>
      <c r="O22" s="2878"/>
      <c r="P22" s="2800"/>
      <c r="Q22" s="2800"/>
      <c r="R22" s="22396" t="s">
        <v>28</v>
      </c>
      <c r="S22" s="2799"/>
      <c r="T22" s="1009"/>
      <c r="U22" s="1010"/>
      <c r="V22" s="1010" t="s">
        <v>171</v>
      </c>
      <c r="W22" s="1011"/>
      <c r="X22" s="22386"/>
      <c r="Y22" s="1951"/>
      <c r="Z22" s="1951"/>
      <c r="AA22" s="1951"/>
      <c r="AB22" s="1951"/>
      <c r="AC22" s="1951"/>
      <c r="AD22" s="1951"/>
      <c r="AE22" s="1951"/>
      <c r="AF22" s="1951"/>
      <c r="AG22" s="1951"/>
      <c r="AH22" s="1951"/>
      <c r="AI22" s="1951"/>
      <c r="AJ22" s="1951"/>
      <c r="AK22" s="1951"/>
      <c r="AL22" s="22386"/>
      <c r="AM22" s="22386"/>
      <c r="AN22" s="22386"/>
      <c r="AO22" s="22386"/>
      <c r="AP22" s="22386"/>
      <c r="AQ22" s="22386"/>
      <c r="AR22" s="22386"/>
    </row>
    <row customHeight="1" ht="17.25">
      <c r="A23" s="2532"/>
      <c r="B23" s="22386"/>
      <c r="C23" s="2537"/>
      <c r="D23" s="2522"/>
      <c r="E23" s="2539"/>
      <c r="F23" s="2476"/>
      <c r="G23" s="2540"/>
      <c r="H23" s="3195"/>
      <c r="I23" s="3195"/>
      <c r="J23" s="3225"/>
      <c r="K23" s="2878"/>
      <c r="L23" s="3195"/>
      <c r="M23" s="3195"/>
      <c r="N23" s="3197"/>
      <c r="O23" s="2804"/>
      <c r="P23" s="1009"/>
      <c r="Q23" s="1010"/>
      <c r="R23" s="1010" t="s">
        <v>172</v>
      </c>
      <c r="S23" s="2538"/>
      <c r="T23" s="2538"/>
      <c r="U23" s="2538"/>
      <c r="V23" s="2538"/>
      <c r="W23" s="1011"/>
      <c r="X23" s="22386"/>
      <c r="Y23" s="1951"/>
      <c r="Z23" s="1951"/>
      <c r="AA23" s="1951"/>
      <c r="AB23" s="1951"/>
      <c r="AC23" s="1951"/>
      <c r="AD23" s="1951"/>
      <c r="AE23" s="1951"/>
      <c r="AF23" s="1951"/>
      <c r="AG23" s="1951"/>
      <c r="AH23" s="1951"/>
      <c r="AI23" s="1951"/>
      <c r="AJ23" s="1951"/>
      <c r="AK23" s="1951"/>
      <c r="AL23" s="22386"/>
      <c r="AM23" s="22386"/>
      <c r="AN23" s="22386"/>
      <c r="AO23" s="22386"/>
      <c r="AP23" s="22386"/>
      <c r="AQ23" s="22386"/>
      <c r="AR23" s="22386"/>
    </row>
    <row customHeight="1" ht="17.25">
      <c r="A24" s="2532"/>
      <c r="B24" s="22386"/>
      <c r="C24" s="2537"/>
      <c r="D24" s="2522"/>
      <c r="E24" s="2539"/>
      <c r="F24" s="2476"/>
      <c r="G24" s="2540"/>
      <c r="H24" s="3195"/>
      <c r="I24" s="3195"/>
      <c r="J24" s="3225"/>
      <c r="K24" s="2804"/>
      <c r="L24" s="1009"/>
      <c r="M24" s="1010"/>
      <c r="N24" s="1010" t="s">
        <v>173</v>
      </c>
      <c r="O24" s="1010"/>
      <c r="P24" s="1010"/>
      <c r="Q24" s="1010"/>
      <c r="R24" s="1010"/>
      <c r="S24" s="2538"/>
      <c r="T24" s="2538"/>
      <c r="U24" s="2538"/>
      <c r="V24" s="2538"/>
      <c r="W24" s="1011"/>
      <c r="X24" s="22386"/>
      <c r="Y24" s="1951"/>
      <c r="Z24" s="1951"/>
      <c r="AA24" s="1951"/>
      <c r="AB24" s="1951"/>
      <c r="AC24" s="1951"/>
      <c r="AD24" s="1951"/>
      <c r="AE24" s="1951"/>
      <c r="AF24" s="1951"/>
      <c r="AG24" s="1951"/>
      <c r="AH24" s="1951"/>
      <c r="AI24" s="1951"/>
      <c r="AJ24" s="1951"/>
      <c r="AK24" s="1951"/>
      <c r="AL24" s="22386"/>
      <c r="AM24" s="22386"/>
      <c r="AN24" s="22386"/>
      <c r="AO24" s="22386"/>
      <c r="AP24" s="22386"/>
      <c r="AQ24" s="22386"/>
      <c r="AR24" s="22386"/>
    </row>
    <row s="63055" customFormat="1" customHeight="1" ht="17.25">
      <c r="A25" s="1013"/>
      <c r="C25" s="1012"/>
      <c r="D25" s="2828"/>
      <c r="E25" s="2836"/>
      <c r="F25" s="2839"/>
      <c r="G25" s="22414"/>
      <c r="H25" s="22415"/>
      <c r="I25" s="22416"/>
      <c r="J25" s="22417" t="s">
        <v>186</v>
      </c>
      <c r="K25" s="22418"/>
      <c r="L25" s="22419"/>
      <c r="M25" s="22420"/>
      <c r="N25" s="22421"/>
      <c r="O25" s="22422"/>
      <c r="P25" s="22423"/>
      <c r="Q25" s="22424"/>
      <c r="R25" s="22425"/>
      <c r="S25" s="22426"/>
      <c r="T25" s="22427"/>
      <c r="U25" s="22428"/>
      <c r="V25" s="22429"/>
      <c r="W25" s="22430"/>
      <c r="Y25" s="1951"/>
      <c r="Z25" s="1951"/>
      <c r="AA25" s="1951"/>
      <c r="AB25" s="1951"/>
      <c r="AC25" s="1951"/>
      <c r="AD25" s="1951"/>
      <c r="AE25" s="1951"/>
      <c r="AF25" s="1951"/>
      <c r="AG25" s="1951"/>
      <c r="AH25" s="1951"/>
      <c r="AI25" s="1951"/>
      <c r="AJ25" s="1951"/>
      <c r="AK25" s="1951"/>
      <c r="AL25" s="1951"/>
      <c r="AM25" s="1951"/>
      <c r="AN25" s="1951"/>
      <c r="AO25" s="1951"/>
      <c r="AP25" s="1951"/>
      <c r="AQ25" s="1951"/>
      <c r="AR25" s="1442">
        <v>0</v>
      </c>
    </row>
    <row s="63055" customFormat="1" customHeight="1" ht="17.25">
      <c r="A26" s="1013"/>
      <c r="C26" s="901"/>
      <c r="D26" s="2827">
        <v>2</v>
      </c>
      <c r="E26" s="3747" t="s">
        <v>187</v>
      </c>
      <c r="F26" s="2837" t="s">
        <v>67</v>
      </c>
      <c r="G26" s="22342" t="str">
        <f>INDEX(VD_NAME_LIST,MATCH("4190064",VD_ID_LIST,0))&amp;"; "&amp;INDEX(VD_NAME_LIST,MATCH("4190066",VD_ID_LIST,0))&amp;"; "&amp;INDEX(VD_NAME_LIST,MATCH("4190068",VD_ID_LIST,0))&amp;"; "&amp;INDEX(VD_NAME_LIST,MATCH("4190070",VD_ID_LIST,0))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H26" s="22343"/>
      <c r="I26" s="22343">
        <v>1</v>
      </c>
      <c r="J26" s="22344" t="s">
        <v>188</v>
      </c>
      <c r="K26" s="22345" t="s">
        <v>67</v>
      </c>
      <c r="L26" s="22346"/>
      <c r="M26" s="22346" t="s">
        <v>118</v>
      </c>
      <c r="N26" s="22347" t="str">
        <f>IF(Z26="","",INDEX(TERRITORY_MR_LIST,MATCH(Z26,TERRITORY_LIST_ID,0)))</f>
        <v>Территория 1</v>
      </c>
      <c r="O26" s="22345" t="s">
        <v>19</v>
      </c>
      <c r="P26" s="22346"/>
      <c r="Q26" s="22346" t="s">
        <v>118</v>
      </c>
      <c r="R26" s="22348" t="s">
        <v>28</v>
      </c>
      <c r="S26" s="22349" t="s">
        <v>19</v>
      </c>
      <c r="T26" s="22346"/>
      <c r="U26" s="22346" t="s">
        <v>118</v>
      </c>
      <c r="V26" s="22348" t="s">
        <v>28</v>
      </c>
      <c r="W26" s="22344"/>
      <c r="X26" s="1959"/>
      <c r="Y26" s="1959"/>
      <c r="Z26" s="1959" t="s">
        <v>99</v>
      </c>
      <c r="AA26" s="1959"/>
      <c r="AB26" s="1959" t="s">
        <v>189</v>
      </c>
      <c r="AC26" s="1959" t="s">
        <v>190</v>
      </c>
      <c r="AD26" s="1959" t="s">
        <v>191</v>
      </c>
      <c r="AE26" s="1959" t="s">
        <v>192</v>
      </c>
      <c r="AF26" s="1959" t="s">
        <v>193</v>
      </c>
      <c r="AG26" s="1959" t="s">
        <v>194</v>
      </c>
      <c r="AH26" s="1959" t="str">
        <f>IF($E$26=0,"",$E$26)</f>
        <v>Тарифы на тепловую энергию (мощность), поставляемую теплоснабжающими организациями потребителям, другим теплоснабжающим организациям</v>
      </c>
      <c r="AI26" s="1959"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26" s="1959" t="str">
        <f>IF($J$26=0,"",$J$26)</f>
        <v>Тариф на тепловую энергию, поставляемую потребителям АО "ДГК" на территории Артемовского городского округа Приморского края</v>
      </c>
      <c r="AK26" s="1959" t="str">
        <f>IF($K$26="нет","без дифференциации",IF($N$26=0,"",$N$26))</f>
        <v>Территория 1</v>
      </c>
      <c r="AL26" s="1959" t="str">
        <f>IF($O$26="нет","без дифференциации",IF($R$26=0,"",$R$26))</f>
        <v>без дифференциации</v>
      </c>
      <c r="AM26" s="1959" t="str">
        <f>IF($S$26="нет","без дифференциации",IF($V$26=0,"",$V$26))</f>
        <v>без дифференциации</v>
      </c>
      <c r="AN26" s="2464">
        <f>$I$26</f>
        <v>1</v>
      </c>
      <c r="AO26" s="1959" t="str">
        <f>$I$26&amp;"."&amp;$M$26</f>
        <v>1.1</v>
      </c>
      <c r="AP26" s="1951" t="str">
        <f>$I$26&amp;"."&amp;$M$26&amp;"."&amp;$Q$26</f>
        <v>1.1.1</v>
      </c>
      <c r="AQ26" s="1951" t="str">
        <f>$I$26&amp;"."&amp;$M$26&amp;"."&amp;$Q$26&amp;"."&amp;$U$26</f>
        <v>1.1.1.1</v>
      </c>
      <c r="AR26" s="1975">
        <v>0</v>
      </c>
    </row>
    <row s="63055" customFormat="1" customHeight="1" ht="17.25">
      <c r="A27" s="1013"/>
      <c r="C27" s="1012"/>
      <c r="D27" s="2827"/>
      <c r="E27" s="2856"/>
      <c r="F27" s="2838"/>
      <c r="G27" s="22342"/>
      <c r="H27" s="22343"/>
      <c r="I27" s="22343"/>
      <c r="J27" s="22344"/>
      <c r="K27" s="22355"/>
      <c r="L27" s="22346"/>
      <c r="M27" s="22346"/>
      <c r="N27" s="22347"/>
      <c r="O27" s="22355"/>
      <c r="P27" s="22346"/>
      <c r="Q27" s="22346"/>
      <c r="R27" s="22348" t="s">
        <v>28</v>
      </c>
      <c r="S27" s="22349"/>
      <c r="T27" s="22435"/>
      <c r="U27" s="22436"/>
      <c r="V27" s="22437" t="s">
        <v>171</v>
      </c>
      <c r="W27" s="22438"/>
      <c r="X27" s="1951"/>
      <c r="Y27" s="1951"/>
      <c r="Z27" s="1951"/>
      <c r="AA27" s="1951"/>
      <c r="AB27" s="1951"/>
      <c r="AC27" s="1951"/>
      <c r="AD27" s="1951"/>
      <c r="AE27" s="1951"/>
      <c r="AF27" s="1951"/>
      <c r="AG27" s="1951"/>
      <c r="AH27" s="1951"/>
      <c r="AI27" s="1951"/>
      <c r="AJ27" s="1951"/>
      <c r="AK27" s="1951"/>
      <c r="AL27" s="1951"/>
      <c r="AM27" s="1951"/>
      <c r="AN27" s="1951"/>
      <c r="AO27" s="1951"/>
      <c r="AP27" s="1951"/>
      <c r="AQ27" s="1951"/>
      <c r="AR27" s="1975">
        <v>0</v>
      </c>
    </row>
    <row s="63055" customFormat="1" customHeight="1" ht="17.25">
      <c r="A28" s="1013"/>
      <c r="C28" s="1012"/>
      <c r="D28" s="2828"/>
      <c r="E28" s="2857"/>
      <c r="F28" s="2838"/>
      <c r="G28" s="22414"/>
      <c r="H28" s="22360"/>
      <c r="I28" s="22360"/>
      <c r="J28" s="22361"/>
      <c r="K28" s="22355"/>
      <c r="L28" s="22360"/>
      <c r="M28" s="22360"/>
      <c r="N28" s="22362"/>
      <c r="O28" s="22363"/>
      <c r="P28" s="22440"/>
      <c r="Q28" s="22441"/>
      <c r="R28" s="22442" t="s">
        <v>172</v>
      </c>
      <c r="S28" s="22443"/>
      <c r="T28" s="22444"/>
      <c r="U28" s="22445"/>
      <c r="V28" s="22446"/>
      <c r="W28" s="22447"/>
      <c r="X28" s="1951"/>
      <c r="Y28" s="1951"/>
      <c r="Z28" s="1951"/>
      <c r="AA28" s="1951"/>
      <c r="AB28" s="1951"/>
      <c r="AC28" s="1951"/>
      <c r="AD28" s="1951"/>
      <c r="AE28" s="1951"/>
      <c r="AF28" s="1951"/>
      <c r="AG28" s="1951"/>
      <c r="AH28" s="1951"/>
      <c r="AI28" s="1951"/>
      <c r="AJ28" s="1951"/>
      <c r="AK28" s="1951"/>
      <c r="AL28" s="1951"/>
      <c r="AM28" s="1951"/>
      <c r="AN28" s="1951"/>
      <c r="AO28" s="1951"/>
      <c r="AP28" s="1951"/>
      <c r="AQ28" s="1951"/>
      <c r="AR28" s="1975">
        <v>0</v>
      </c>
    </row>
    <row s="63055" customFormat="1" customHeight="1" ht="17.25">
      <c r="A29" s="1013"/>
      <c r="C29" s="1012"/>
      <c r="D29" s="2828"/>
      <c r="E29" s="2857"/>
      <c r="F29" s="2838"/>
      <c r="G29" s="22414"/>
      <c r="H29" s="22360"/>
      <c r="I29" s="22360"/>
      <c r="J29" s="22361"/>
      <c r="K29" s="22363"/>
      <c r="L29" s="22448"/>
      <c r="M29" s="22449"/>
      <c r="N29" s="22450" t="s">
        <v>173</v>
      </c>
      <c r="O29" s="22451"/>
      <c r="P29" s="22452"/>
      <c r="Q29" s="22453"/>
      <c r="R29" s="22454"/>
      <c r="S29" s="22455"/>
      <c r="T29" s="22456"/>
      <c r="U29" s="22457"/>
      <c r="V29" s="22458"/>
      <c r="W29" s="22459"/>
      <c r="X29" s="1951"/>
      <c r="Y29" s="1951"/>
      <c r="Z29" s="1951"/>
      <c r="AA29" s="1951"/>
      <c r="AB29" s="1951"/>
      <c r="AC29" s="1951"/>
      <c r="AD29" s="1951"/>
      <c r="AE29" s="1951"/>
      <c r="AF29" s="1951"/>
      <c r="AG29" s="1951"/>
      <c r="AH29" s="1951"/>
      <c r="AI29" s="1951"/>
      <c r="AJ29" s="1951"/>
      <c r="AK29" s="1951"/>
      <c r="AL29" s="1951"/>
      <c r="AM29" s="1951"/>
      <c r="AN29" s="1951"/>
      <c r="AO29" s="1951"/>
      <c r="AP29" s="1951"/>
      <c r="AQ29" s="1951"/>
      <c r="AR29" s="1975">
        <v>0</v>
      </c>
    </row>
    <row customHeight="1" ht="17.25">
      <c r="A30" s="2532"/>
      <c r="B30" s="22386"/>
      <c r="C30" s="2534"/>
      <c r="D30" s="2522"/>
      <c r="E30" s="2539"/>
      <c r="F30" s="2476"/>
      <c r="G30" s="2540"/>
      <c r="H30" s="3221" t="s">
        <v>104</v>
      </c>
      <c r="I30" s="3221" t="s">
        <v>103</v>
      </c>
      <c r="J30" s="3193" t="s">
        <v>195</v>
      </c>
      <c r="K30" s="2877" t="s">
        <v>67</v>
      </c>
      <c r="L30" s="2800"/>
      <c r="M30" s="2800" t="s">
        <v>118</v>
      </c>
      <c r="N30" s="3196" t="str">
        <f>IF(Z30="","",INDEX(TERRITORY_MR_LIST,MATCH(Z30,TERRITORY_LIST_ID,0)))</f>
        <v>Территория 2</v>
      </c>
      <c r="O30" s="2877" t="s">
        <v>19</v>
      </c>
      <c r="P30" s="2800"/>
      <c r="Q30" s="2800" t="s">
        <v>118</v>
      </c>
      <c r="R30" s="22396" t="s">
        <v>28</v>
      </c>
      <c r="S30" s="2799" t="s">
        <v>19</v>
      </c>
      <c r="T30" s="2503"/>
      <c r="U30" s="2503" t="s">
        <v>118</v>
      </c>
      <c r="V30" s="22460" t="s">
        <v>28</v>
      </c>
      <c r="W30" s="2493"/>
      <c r="X30" s="22386"/>
      <c r="Y30" s="1959"/>
      <c r="Z30" s="1959" t="s">
        <v>105</v>
      </c>
      <c r="AA30" s="1959"/>
      <c r="AB30" s="1959"/>
      <c r="AC30" s="22400" t="s">
        <v>190</v>
      </c>
      <c r="AD30" s="1959" t="s">
        <v>196</v>
      </c>
      <c r="AE30" s="1959" t="s">
        <v>197</v>
      </c>
      <c r="AF30" s="1959" t="s">
        <v>198</v>
      </c>
      <c r="AG30" s="1959" t="s">
        <v>199</v>
      </c>
      <c r="AH30" s="1959" t="str">
        <f>IF($E$26=0,"",$E$26)</f>
        <v>Тарифы на тепловую энергию (мощность), поставляемую теплоснабжающими организациями потребителям, другим теплоснабжающим организациям</v>
      </c>
      <c r="AI30" s="1959"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0" s="1959" t="str">
        <f>IF($J$30=0,"",$J$30)</f>
        <v>Тариф на тепловую энергию, поставляемую потребителям АО "ДГК" на территории Владивостокского городского округа Приморского края</v>
      </c>
      <c r="AK30" s="1959" t="str">
        <f>IF($K$30="нет","без дифференциации",IF($N$30=0,"",$N$30))</f>
        <v>Территория 2</v>
      </c>
      <c r="AL30" s="2536" t="str">
        <f>IF($O$30="нет","без дифференциации",IF($R$30=0,"",$R$30))</f>
        <v>без дифференциации</v>
      </c>
      <c r="AM30" s="2536" t="str">
        <f>IF($S$30="нет","без дифференциации",IF($V$30=0,"",$V$30))</f>
        <v>без дифференциации</v>
      </c>
      <c r="AN30" s="1959" t="str">
        <f>$I$30</f>
        <v>2</v>
      </c>
      <c r="AO30" s="1959" t="str">
        <f>$I$30&amp;"."&amp;$M$30</f>
        <v>2.1</v>
      </c>
      <c r="AP30" s="1959" t="str">
        <f>$I$30&amp;"."&amp;$M$30&amp;"."&amp;$Q$30</f>
        <v>2.1.1</v>
      </c>
      <c r="AQ30" s="1959" t="str">
        <f>$I$30&amp;"."&amp;$M$30&amp;"."&amp;$Q$30&amp;"."&amp;$U$30</f>
        <v>2.1.1.1</v>
      </c>
      <c r="AR30" s="22386"/>
    </row>
    <row customHeight="1" ht="17.25">
      <c r="A31" s="2532"/>
      <c r="B31" s="22386"/>
      <c r="C31" s="2537"/>
      <c r="D31" s="2522"/>
      <c r="E31" s="2539"/>
      <c r="F31" s="2476"/>
      <c r="G31" s="2540"/>
      <c r="H31" s="3221"/>
      <c r="I31" s="3221"/>
      <c r="J31" s="3193"/>
      <c r="K31" s="2878"/>
      <c r="L31" s="2800"/>
      <c r="M31" s="2800"/>
      <c r="N31" s="3196"/>
      <c r="O31" s="2878"/>
      <c r="P31" s="2800"/>
      <c r="Q31" s="2800"/>
      <c r="R31" s="22396" t="s">
        <v>28</v>
      </c>
      <c r="S31" s="2799"/>
      <c r="T31" s="1009"/>
      <c r="U31" s="1010"/>
      <c r="V31" s="1010" t="s">
        <v>171</v>
      </c>
      <c r="W31" s="1011"/>
      <c r="X31" s="22386"/>
      <c r="Y31" s="1951"/>
      <c r="Z31" s="1951"/>
      <c r="AA31" s="1951"/>
      <c r="AB31" s="1951"/>
      <c r="AC31" s="1951"/>
      <c r="AD31" s="1951"/>
      <c r="AE31" s="1951"/>
      <c r="AF31" s="1951"/>
      <c r="AG31" s="1951"/>
      <c r="AH31" s="1951"/>
      <c r="AI31" s="1951"/>
      <c r="AJ31" s="1951"/>
      <c r="AK31" s="1951"/>
      <c r="AL31" s="22386"/>
      <c r="AM31" s="22386"/>
      <c r="AN31" s="22386"/>
      <c r="AO31" s="22386"/>
      <c r="AP31" s="22386"/>
      <c r="AQ31" s="22386"/>
      <c r="AR31" s="22386"/>
    </row>
    <row customHeight="1" ht="17.25">
      <c r="A32" s="2532"/>
      <c r="B32" s="22386"/>
      <c r="C32" s="2537"/>
      <c r="D32" s="2522"/>
      <c r="E32" s="2539"/>
      <c r="F32" s="2476"/>
      <c r="G32" s="2540"/>
      <c r="H32" s="3195"/>
      <c r="I32" s="3195"/>
      <c r="J32" s="3225"/>
      <c r="K32" s="2878"/>
      <c r="L32" s="3195"/>
      <c r="M32" s="3195"/>
      <c r="N32" s="3197"/>
      <c r="O32" s="2804"/>
      <c r="P32" s="1009"/>
      <c r="Q32" s="1010"/>
      <c r="R32" s="1010" t="s">
        <v>172</v>
      </c>
      <c r="S32" s="2538"/>
      <c r="T32" s="2538"/>
      <c r="U32" s="2538"/>
      <c r="V32" s="2538"/>
      <c r="W32" s="1011"/>
      <c r="X32" s="22386"/>
      <c r="Y32" s="1951"/>
      <c r="Z32" s="1951"/>
      <c r="AA32" s="1951"/>
      <c r="AB32" s="1951"/>
      <c r="AC32" s="1951"/>
      <c r="AD32" s="1951"/>
      <c r="AE32" s="1951"/>
      <c r="AF32" s="1951"/>
      <c r="AG32" s="1951"/>
      <c r="AH32" s="1951"/>
      <c r="AI32" s="1951"/>
      <c r="AJ32" s="1951"/>
      <c r="AK32" s="1951"/>
      <c r="AL32" s="22386"/>
      <c r="AM32" s="22386"/>
      <c r="AN32" s="22386"/>
      <c r="AO32" s="22386"/>
      <c r="AP32" s="22386"/>
      <c r="AQ32" s="22386"/>
      <c r="AR32" s="22386"/>
    </row>
    <row customHeight="1" ht="17.25">
      <c r="A33" s="2532"/>
      <c r="B33" s="22386"/>
      <c r="C33" s="2537"/>
      <c r="D33" s="2522"/>
      <c r="E33" s="2539"/>
      <c r="F33" s="2476"/>
      <c r="G33" s="2540"/>
      <c r="H33" s="3195"/>
      <c r="I33" s="3195"/>
      <c r="J33" s="3225"/>
      <c r="K33" s="2804"/>
      <c r="L33" s="1009"/>
      <c r="M33" s="1010"/>
      <c r="N33" s="1010" t="s">
        <v>173</v>
      </c>
      <c r="O33" s="1010"/>
      <c r="P33" s="1010"/>
      <c r="Q33" s="1010"/>
      <c r="R33" s="1010"/>
      <c r="S33" s="2538"/>
      <c r="T33" s="2538"/>
      <c r="U33" s="2538"/>
      <c r="V33" s="2538"/>
      <c r="W33" s="1011"/>
      <c r="X33" s="22386"/>
      <c r="Y33" s="1951"/>
      <c r="Z33" s="1951"/>
      <c r="AA33" s="1951"/>
      <c r="AB33" s="1951"/>
      <c r="AC33" s="1951"/>
      <c r="AD33" s="1951"/>
      <c r="AE33" s="1951"/>
      <c r="AF33" s="1951"/>
      <c r="AG33" s="1951"/>
      <c r="AH33" s="1951"/>
      <c r="AI33" s="1951"/>
      <c r="AJ33" s="1951"/>
      <c r="AK33" s="1951"/>
      <c r="AL33" s="22386"/>
      <c r="AM33" s="22386"/>
      <c r="AN33" s="22386"/>
      <c r="AO33" s="22386"/>
      <c r="AP33" s="22386"/>
      <c r="AQ33" s="22386"/>
      <c r="AR33" s="22386"/>
    </row>
    <row customHeight="1" ht="17.25">
      <c r="A34" s="2532"/>
      <c r="B34" s="22386"/>
      <c r="C34" s="2534"/>
      <c r="D34" s="2522"/>
      <c r="E34" s="2539"/>
      <c r="F34" s="2476"/>
      <c r="G34" s="2540"/>
      <c r="H34" s="3221" t="s">
        <v>104</v>
      </c>
      <c r="I34" s="3221" t="s">
        <v>91</v>
      </c>
      <c r="J34" s="3193" t="s">
        <v>200</v>
      </c>
      <c r="K34" s="2877" t="s">
        <v>67</v>
      </c>
      <c r="L34" s="2800"/>
      <c r="M34" s="2800" t="s">
        <v>118</v>
      </c>
      <c r="N34" s="3196" t="str">
        <f>IF(Z34="","",INDEX(TERRITORY_MR_LIST,MATCH(Z34,TERRITORY_LIST_ID,0)))</f>
        <v>Территория 3</v>
      </c>
      <c r="O34" s="2877" t="s">
        <v>19</v>
      </c>
      <c r="P34" s="2800"/>
      <c r="Q34" s="2800" t="s">
        <v>118</v>
      </c>
      <c r="R34" s="22396" t="s">
        <v>28</v>
      </c>
      <c r="S34" s="2799" t="s">
        <v>19</v>
      </c>
      <c r="T34" s="2503"/>
      <c r="U34" s="2503" t="s">
        <v>118</v>
      </c>
      <c r="V34" s="22460" t="s">
        <v>28</v>
      </c>
      <c r="W34" s="2493"/>
      <c r="X34" s="22386"/>
      <c r="Y34" s="1959"/>
      <c r="Z34" s="1959" t="s">
        <v>108</v>
      </c>
      <c r="AA34" s="1959"/>
      <c r="AB34" s="1959"/>
      <c r="AC34" s="22400" t="s">
        <v>190</v>
      </c>
      <c r="AD34" s="1959" t="s">
        <v>201</v>
      </c>
      <c r="AE34" s="1959" t="s">
        <v>202</v>
      </c>
      <c r="AF34" s="1959" t="s">
        <v>203</v>
      </c>
      <c r="AG34" s="1959" t="s">
        <v>204</v>
      </c>
      <c r="AH34" s="1959" t="str">
        <f>IF($E$26=0,"",$E$26)</f>
        <v>Тарифы на тепловую энергию (мощность), поставляемую теплоснабжающими организациями потребителям, другим теплоснабжающим организациям</v>
      </c>
      <c r="AI34" s="1959"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4" s="1959" t="str">
        <f>IF($J$34=0,"",$J$34)</f>
        <v>Тариф на тепловую энергию, поставляемую потребителям АО "ДГК" на территории Партизанского городского округа Приморского края</v>
      </c>
      <c r="AK34" s="1959" t="str">
        <f>IF($K$34="нет","без дифференциации",IF($N$34=0,"",$N$34))</f>
        <v>Территория 3</v>
      </c>
      <c r="AL34" s="2536" t="str">
        <f>IF($O$34="нет","без дифференциации",IF($R$34=0,"",$R$34))</f>
        <v>без дифференциации</v>
      </c>
      <c r="AM34" s="2536" t="str">
        <f>IF($S$34="нет","без дифференциации",IF($V$34=0,"",$V$34))</f>
        <v>без дифференциации</v>
      </c>
      <c r="AN34" s="1959" t="str">
        <f>$I$34</f>
        <v>3</v>
      </c>
      <c r="AO34" s="1959" t="str">
        <f>$I$34&amp;"."&amp;$M$34</f>
        <v>3.1</v>
      </c>
      <c r="AP34" s="1959" t="str">
        <f>$I$34&amp;"."&amp;$M$34&amp;"."&amp;$Q$34</f>
        <v>3.1.1</v>
      </c>
      <c r="AQ34" s="1959" t="str">
        <f>$I$34&amp;"."&amp;$M$34&amp;"."&amp;$Q$34&amp;"."&amp;$U$34</f>
        <v>3.1.1.1</v>
      </c>
      <c r="AR34" s="22386"/>
    </row>
    <row customHeight="1" ht="17.25">
      <c r="A35" s="2532"/>
      <c r="B35" s="22386"/>
      <c r="C35" s="2537"/>
      <c r="D35" s="2522"/>
      <c r="E35" s="2539"/>
      <c r="F35" s="2476"/>
      <c r="G35" s="2540"/>
      <c r="H35" s="3221"/>
      <c r="I35" s="3221"/>
      <c r="J35" s="3193"/>
      <c r="K35" s="2878"/>
      <c r="L35" s="2800"/>
      <c r="M35" s="2800"/>
      <c r="N35" s="3196"/>
      <c r="O35" s="2878"/>
      <c r="P35" s="2800"/>
      <c r="Q35" s="2800"/>
      <c r="R35" s="22396" t="s">
        <v>28</v>
      </c>
      <c r="S35" s="2799"/>
      <c r="T35" s="1009"/>
      <c r="U35" s="1010"/>
      <c r="V35" s="1010" t="s">
        <v>171</v>
      </c>
      <c r="W35" s="1011"/>
      <c r="X35" s="22386"/>
      <c r="Y35" s="1951"/>
      <c r="Z35" s="1951"/>
      <c r="AA35" s="1951"/>
      <c r="AB35" s="1951"/>
      <c r="AC35" s="1951"/>
      <c r="AD35" s="1951"/>
      <c r="AE35" s="1951"/>
      <c r="AF35" s="1951"/>
      <c r="AG35" s="1951"/>
      <c r="AH35" s="1951"/>
      <c r="AI35" s="1951"/>
      <c r="AJ35" s="1951"/>
      <c r="AK35" s="1951"/>
      <c r="AL35" s="22386"/>
      <c r="AM35" s="22386"/>
      <c r="AN35" s="22386"/>
      <c r="AO35" s="22386"/>
      <c r="AP35" s="22386"/>
      <c r="AQ35" s="22386"/>
      <c r="AR35" s="22386"/>
    </row>
    <row customHeight="1" ht="17.25">
      <c r="A36" s="2532"/>
      <c r="B36" s="22386"/>
      <c r="C36" s="2537"/>
      <c r="D36" s="2522"/>
      <c r="E36" s="2539"/>
      <c r="F36" s="2476"/>
      <c r="G36" s="2540"/>
      <c r="H36" s="3195"/>
      <c r="I36" s="3195"/>
      <c r="J36" s="3225"/>
      <c r="K36" s="2878"/>
      <c r="L36" s="3195"/>
      <c r="M36" s="3195"/>
      <c r="N36" s="3197"/>
      <c r="O36" s="2804"/>
      <c r="P36" s="1009"/>
      <c r="Q36" s="1010"/>
      <c r="R36" s="1010" t="s">
        <v>172</v>
      </c>
      <c r="S36" s="2538"/>
      <c r="T36" s="2538"/>
      <c r="U36" s="2538"/>
      <c r="V36" s="2538"/>
      <c r="W36" s="1011"/>
      <c r="X36" s="22386"/>
      <c r="Y36" s="1951"/>
      <c r="Z36" s="1951"/>
      <c r="AA36" s="1951"/>
      <c r="AB36" s="1951"/>
      <c r="AC36" s="1951"/>
      <c r="AD36" s="1951"/>
      <c r="AE36" s="1951"/>
      <c r="AF36" s="1951"/>
      <c r="AG36" s="1951"/>
      <c r="AH36" s="1951"/>
      <c r="AI36" s="1951"/>
      <c r="AJ36" s="1951"/>
      <c r="AK36" s="1951"/>
      <c r="AL36" s="22386"/>
      <c r="AM36" s="22386"/>
      <c r="AN36" s="22386"/>
      <c r="AO36" s="22386"/>
      <c r="AP36" s="22386"/>
      <c r="AQ36" s="22386"/>
      <c r="AR36" s="22386"/>
    </row>
    <row customHeight="1" ht="17.25">
      <c r="A37" s="2532"/>
      <c r="B37" s="22386"/>
      <c r="C37" s="2537"/>
      <c r="D37" s="2522"/>
      <c r="E37" s="2539"/>
      <c r="F37" s="2476"/>
      <c r="G37" s="2540"/>
      <c r="H37" s="3195"/>
      <c r="I37" s="3195"/>
      <c r="J37" s="3225"/>
      <c r="K37" s="2804"/>
      <c r="L37" s="1009"/>
      <c r="M37" s="1010"/>
      <c r="N37" s="1010" t="s">
        <v>173</v>
      </c>
      <c r="O37" s="1010"/>
      <c r="P37" s="1010"/>
      <c r="Q37" s="1010"/>
      <c r="R37" s="1010"/>
      <c r="S37" s="2538"/>
      <c r="T37" s="2538"/>
      <c r="U37" s="2538"/>
      <c r="V37" s="2538"/>
      <c r="W37" s="1011"/>
      <c r="X37" s="22386"/>
      <c r="Y37" s="1951"/>
      <c r="Z37" s="1951"/>
      <c r="AA37" s="1951"/>
      <c r="AB37" s="1951"/>
      <c r="AC37" s="1951"/>
      <c r="AD37" s="1951"/>
      <c r="AE37" s="1951"/>
      <c r="AF37" s="1951"/>
      <c r="AG37" s="1951"/>
      <c r="AH37" s="1951"/>
      <c r="AI37" s="1951"/>
      <c r="AJ37" s="1951"/>
      <c r="AK37" s="1951"/>
      <c r="AL37" s="22386"/>
      <c r="AM37" s="22386"/>
      <c r="AN37" s="22386"/>
      <c r="AO37" s="22386"/>
      <c r="AP37" s="22386"/>
      <c r="AQ37" s="22386"/>
      <c r="AR37" s="22386"/>
    </row>
    <row customHeight="1" ht="17.25">
      <c r="A38" s="2532"/>
      <c r="B38" s="22386"/>
      <c r="C38" s="2534"/>
      <c r="D38" s="2522"/>
      <c r="E38" s="2539"/>
      <c r="F38" s="2476"/>
      <c r="G38" s="2540"/>
      <c r="H38" s="3221" t="s">
        <v>104</v>
      </c>
      <c r="I38" s="3221" t="s">
        <v>92</v>
      </c>
      <c r="J38" s="3193" t="s">
        <v>205</v>
      </c>
      <c r="K38" s="2877" t="s">
        <v>67</v>
      </c>
      <c r="L38" s="2800"/>
      <c r="M38" s="2800" t="s">
        <v>118</v>
      </c>
      <c r="N38" s="3196" t="str">
        <f>IF(Z38="","",INDEX(TERRITORY_MR_LIST,MATCH(Z38,TERRITORY_LIST_ID,0)))</f>
        <v>Территория 1</v>
      </c>
      <c r="O38" s="2877" t="s">
        <v>19</v>
      </c>
      <c r="P38" s="2800"/>
      <c r="Q38" s="2800" t="s">
        <v>118</v>
      </c>
      <c r="R38" s="22396" t="s">
        <v>28</v>
      </c>
      <c r="S38" s="2799" t="s">
        <v>19</v>
      </c>
      <c r="T38" s="2503"/>
      <c r="U38" s="2503" t="s">
        <v>118</v>
      </c>
      <c r="V38" s="22460" t="s">
        <v>28</v>
      </c>
      <c r="W38" s="2493"/>
      <c r="X38" s="22386"/>
      <c r="Y38" s="1959"/>
      <c r="Z38" s="1959" t="s">
        <v>99</v>
      </c>
      <c r="AA38" s="1959"/>
      <c r="AB38" s="1959"/>
      <c r="AC38" s="22400" t="s">
        <v>190</v>
      </c>
      <c r="AD38" s="1959" t="s">
        <v>206</v>
      </c>
      <c r="AE38" s="1959" t="s">
        <v>207</v>
      </c>
      <c r="AF38" s="1959" t="s">
        <v>208</v>
      </c>
      <c r="AG38" s="1959" t="s">
        <v>209</v>
      </c>
      <c r="AH38" s="1959" t="str">
        <f>IF($E$26=0,"",$E$26)</f>
        <v>Тарифы на тепловую энергию (мощность), поставляемую теплоснабжающими организациями потребителям, другим теплоснабжающим организациям</v>
      </c>
      <c r="AI38" s="1959"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8" s="1959" t="str">
        <f>IF($J$38=0,"",$J$38)</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AK38" s="1959" t="str">
        <f>IF($K$38="нет","без дифференциации",IF($N$38=0,"",$N$38))</f>
        <v>Территория 1</v>
      </c>
      <c r="AL38" s="2536" t="str">
        <f>IF($O$38="нет","без дифференциации",IF($R$38=0,"",$R$38))</f>
        <v>без дифференциации</v>
      </c>
      <c r="AM38" s="2536" t="str">
        <f>IF($S$38="нет","без дифференциации",IF($V$38=0,"",$V$38))</f>
        <v>без дифференциации</v>
      </c>
      <c r="AN38" s="1959" t="str">
        <f>$I$38</f>
        <v>4</v>
      </c>
      <c r="AO38" s="1959" t="str">
        <f>$I$38&amp;"."&amp;$M$38</f>
        <v>4.1</v>
      </c>
      <c r="AP38" s="1959" t="str">
        <f>$I$38&amp;"."&amp;$M$38&amp;"."&amp;$Q$38</f>
        <v>4.1.1</v>
      </c>
      <c r="AQ38" s="1959" t="str">
        <f>$I$38&amp;"."&amp;$M$38&amp;"."&amp;$Q$38&amp;"."&amp;$U$38</f>
        <v>4.1.1.1</v>
      </c>
      <c r="AR38" s="22386"/>
    </row>
    <row customHeight="1" ht="17.25">
      <c r="A39" s="2532"/>
      <c r="B39" s="22386"/>
      <c r="C39" s="2537"/>
      <c r="D39" s="2522"/>
      <c r="E39" s="2539"/>
      <c r="F39" s="2476"/>
      <c r="G39" s="2540"/>
      <c r="H39" s="3221"/>
      <c r="I39" s="3221"/>
      <c r="J39" s="3193"/>
      <c r="K39" s="2878"/>
      <c r="L39" s="2800"/>
      <c r="M39" s="2800"/>
      <c r="N39" s="3196"/>
      <c r="O39" s="2878"/>
      <c r="P39" s="2800"/>
      <c r="Q39" s="2800"/>
      <c r="R39" s="22396" t="s">
        <v>28</v>
      </c>
      <c r="S39" s="2799"/>
      <c r="T39" s="1009"/>
      <c r="U39" s="1010"/>
      <c r="V39" s="1010" t="s">
        <v>171</v>
      </c>
      <c r="W39" s="1011"/>
      <c r="X39" s="22386"/>
      <c r="Y39" s="1951"/>
      <c r="Z39" s="1951"/>
      <c r="AA39" s="1951"/>
      <c r="AB39" s="1951"/>
      <c r="AC39" s="1951"/>
      <c r="AD39" s="1951"/>
      <c r="AE39" s="1951"/>
      <c r="AF39" s="1951"/>
      <c r="AG39" s="1951"/>
      <c r="AH39" s="1951"/>
      <c r="AI39" s="1951"/>
      <c r="AJ39" s="1951"/>
      <c r="AK39" s="1951"/>
      <c r="AL39" s="22386"/>
      <c r="AM39" s="22386"/>
      <c r="AN39" s="22386"/>
      <c r="AO39" s="22386"/>
      <c r="AP39" s="22386"/>
      <c r="AQ39" s="22386"/>
      <c r="AR39" s="22386"/>
    </row>
    <row customHeight="1" ht="17.25">
      <c r="A40" s="2532"/>
      <c r="B40" s="22386"/>
      <c r="C40" s="2537"/>
      <c r="D40" s="2522"/>
      <c r="E40" s="2539"/>
      <c r="F40" s="2476"/>
      <c r="G40" s="2540"/>
      <c r="H40" s="3195"/>
      <c r="I40" s="3195"/>
      <c r="J40" s="3225"/>
      <c r="K40" s="2878"/>
      <c r="L40" s="3195"/>
      <c r="M40" s="3195"/>
      <c r="N40" s="3197"/>
      <c r="O40" s="2804"/>
      <c r="P40" s="1009"/>
      <c r="Q40" s="1010"/>
      <c r="R40" s="1010" t="s">
        <v>172</v>
      </c>
      <c r="S40" s="2538"/>
      <c r="T40" s="2538"/>
      <c r="U40" s="2538"/>
      <c r="V40" s="2538"/>
      <c r="W40" s="1011"/>
      <c r="X40" s="22386"/>
      <c r="Y40" s="1951"/>
      <c r="Z40" s="1951"/>
      <c r="AA40" s="1951"/>
      <c r="AB40" s="1951"/>
      <c r="AC40" s="1951"/>
      <c r="AD40" s="1951"/>
      <c r="AE40" s="1951"/>
      <c r="AF40" s="1951"/>
      <c r="AG40" s="1951"/>
      <c r="AH40" s="1951"/>
      <c r="AI40" s="1951"/>
      <c r="AJ40" s="1951"/>
      <c r="AK40" s="1951"/>
      <c r="AL40" s="22386"/>
      <c r="AM40" s="22386"/>
      <c r="AN40" s="22386"/>
      <c r="AO40" s="22386"/>
      <c r="AP40" s="22386"/>
      <c r="AQ40" s="22386"/>
      <c r="AR40" s="22386"/>
    </row>
    <row customHeight="1" ht="17.25">
      <c r="A41" s="2532"/>
      <c r="B41" s="22386"/>
      <c r="C41" s="2537"/>
      <c r="D41" s="2522"/>
      <c r="E41" s="2539"/>
      <c r="F41" s="2476"/>
      <c r="G41" s="2540"/>
      <c r="H41" s="3195"/>
      <c r="I41" s="3195"/>
      <c r="J41" s="3225"/>
      <c r="K41" s="2804"/>
      <c r="L41" s="1009"/>
      <c r="M41" s="1010"/>
      <c r="N41" s="1010" t="s">
        <v>173</v>
      </c>
      <c r="O41" s="1010"/>
      <c r="P41" s="1010"/>
      <c r="Q41" s="1010"/>
      <c r="R41" s="1010"/>
      <c r="S41" s="2538"/>
      <c r="T41" s="2538"/>
      <c r="U41" s="2538"/>
      <c r="V41" s="2538"/>
      <c r="W41" s="1011"/>
      <c r="X41" s="22386"/>
      <c r="Y41" s="1951"/>
      <c r="Z41" s="1951"/>
      <c r="AA41" s="1951"/>
      <c r="AB41" s="1951"/>
      <c r="AC41" s="1951"/>
      <c r="AD41" s="1951"/>
      <c r="AE41" s="1951"/>
      <c r="AF41" s="1951"/>
      <c r="AG41" s="1951"/>
      <c r="AH41" s="1951"/>
      <c r="AI41" s="1951"/>
      <c r="AJ41" s="1951"/>
      <c r="AK41" s="1951"/>
      <c r="AL41" s="22386"/>
      <c r="AM41" s="22386"/>
      <c r="AN41" s="22386"/>
      <c r="AO41" s="22386"/>
      <c r="AP41" s="22386"/>
      <c r="AQ41" s="22386"/>
      <c r="AR41" s="22386"/>
    </row>
    <row customHeight="1" ht="17.25">
      <c r="A42" s="2532"/>
      <c r="B42" s="22386"/>
      <c r="C42" s="2534"/>
      <c r="D42" s="2522"/>
      <c r="E42" s="2539"/>
      <c r="F42" s="2476"/>
      <c r="G42" s="2540"/>
      <c r="H42" s="3221" t="s">
        <v>104</v>
      </c>
      <c r="I42" s="3221" t="s">
        <v>119</v>
      </c>
      <c r="J42" s="3193" t="s">
        <v>210</v>
      </c>
      <c r="K42" s="2877" t="s">
        <v>67</v>
      </c>
      <c r="L42" s="2800"/>
      <c r="M42" s="2800" t="s">
        <v>118</v>
      </c>
      <c r="N42" s="3196" t="str">
        <f>IF(Z42="","",INDEX(TERRITORY_MR_LIST,MATCH(Z42,TERRITORY_LIST_ID,0)))</f>
        <v>Территория 2</v>
      </c>
      <c r="O42" s="2877" t="s">
        <v>19</v>
      </c>
      <c r="P42" s="2800"/>
      <c r="Q42" s="2800" t="s">
        <v>118</v>
      </c>
      <c r="R42" s="22396" t="s">
        <v>28</v>
      </c>
      <c r="S42" s="2799" t="s">
        <v>19</v>
      </c>
      <c r="T42" s="2503"/>
      <c r="U42" s="2503" t="s">
        <v>118</v>
      </c>
      <c r="V42" s="22460" t="s">
        <v>28</v>
      </c>
      <c r="W42" s="2493"/>
      <c r="X42" s="22386"/>
      <c r="Y42" s="1959"/>
      <c r="Z42" s="1959" t="s">
        <v>105</v>
      </c>
      <c r="AA42" s="1959"/>
      <c r="AB42" s="1959"/>
      <c r="AC42" s="22400" t="s">
        <v>190</v>
      </c>
      <c r="AD42" s="1959" t="s">
        <v>211</v>
      </c>
      <c r="AE42" s="1959" t="s">
        <v>212</v>
      </c>
      <c r="AF42" s="1959" t="s">
        <v>213</v>
      </c>
      <c r="AG42" s="1959" t="s">
        <v>214</v>
      </c>
      <c r="AH42" s="1959" t="str">
        <f>IF($E$26=0,"",$E$26)</f>
        <v>Тарифы на тепловую энергию (мощность), поставляемую теплоснабжающими организациями потребителям, другим теплоснабжающим организациям</v>
      </c>
      <c r="AI42" s="1959"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2" s="1959" t="str">
        <f>IF($J$42=0,"",$J$42)</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AK42" s="1959" t="str">
        <f>IF($K$42="нет","без дифференциации",IF($N$42=0,"",$N$42))</f>
        <v>Территория 2</v>
      </c>
      <c r="AL42" s="2536" t="str">
        <f>IF($O$42="нет","без дифференциации",IF($R$42=0,"",$R$42))</f>
        <v>без дифференциации</v>
      </c>
      <c r="AM42" s="2536" t="str">
        <f>IF($S$42="нет","без дифференциации",IF($V$42=0,"",$V$42))</f>
        <v>без дифференциации</v>
      </c>
      <c r="AN42" s="1959" t="str">
        <f>$I$42</f>
        <v>5</v>
      </c>
      <c r="AO42" s="1959" t="str">
        <f>$I$42&amp;"."&amp;$M$42</f>
        <v>5.1</v>
      </c>
      <c r="AP42" s="1959" t="str">
        <f>$I$42&amp;"."&amp;$M$42&amp;"."&amp;$Q$42</f>
        <v>5.1.1</v>
      </c>
      <c r="AQ42" s="1959" t="str">
        <f>$I$42&amp;"."&amp;$M$42&amp;"."&amp;$Q$42&amp;"."&amp;$U$42</f>
        <v>5.1.1.1</v>
      </c>
      <c r="AR42" s="22386"/>
    </row>
    <row customHeight="1" ht="17.25">
      <c r="A43" s="2532"/>
      <c r="B43" s="22386"/>
      <c r="C43" s="2537"/>
      <c r="D43" s="2522"/>
      <c r="E43" s="2539"/>
      <c r="F43" s="2476"/>
      <c r="G43" s="2540"/>
      <c r="H43" s="3221"/>
      <c r="I43" s="3221"/>
      <c r="J43" s="3193"/>
      <c r="K43" s="2878"/>
      <c r="L43" s="2800"/>
      <c r="M43" s="2800"/>
      <c r="N43" s="3196"/>
      <c r="O43" s="2878"/>
      <c r="P43" s="2800"/>
      <c r="Q43" s="2800"/>
      <c r="R43" s="22396" t="s">
        <v>28</v>
      </c>
      <c r="S43" s="2799"/>
      <c r="T43" s="1009"/>
      <c r="U43" s="1010"/>
      <c r="V43" s="1010" t="s">
        <v>171</v>
      </c>
      <c r="W43" s="1011"/>
      <c r="X43" s="22386"/>
      <c r="Y43" s="1951"/>
      <c r="Z43" s="1951"/>
      <c r="AA43" s="1951"/>
      <c r="AB43" s="1951"/>
      <c r="AC43" s="1951"/>
      <c r="AD43" s="1951"/>
      <c r="AE43" s="1951"/>
      <c r="AF43" s="1951"/>
      <c r="AG43" s="1951"/>
      <c r="AH43" s="1951"/>
      <c r="AI43" s="1951"/>
      <c r="AJ43" s="1951"/>
      <c r="AK43" s="1951"/>
      <c r="AL43" s="22386"/>
      <c r="AM43" s="22386"/>
      <c r="AN43" s="22386"/>
      <c r="AO43" s="22386"/>
      <c r="AP43" s="22386"/>
      <c r="AQ43" s="22386"/>
      <c r="AR43" s="22386"/>
    </row>
    <row customHeight="1" ht="17.25">
      <c r="A44" s="2532"/>
      <c r="B44" s="22386"/>
      <c r="C44" s="2537"/>
      <c r="D44" s="2522"/>
      <c r="E44" s="2539"/>
      <c r="F44" s="2476"/>
      <c r="G44" s="2540"/>
      <c r="H44" s="3195"/>
      <c r="I44" s="3195"/>
      <c r="J44" s="3225"/>
      <c r="K44" s="2878"/>
      <c r="L44" s="3195"/>
      <c r="M44" s="3195"/>
      <c r="N44" s="3197"/>
      <c r="O44" s="2804"/>
      <c r="P44" s="1009"/>
      <c r="Q44" s="1010"/>
      <c r="R44" s="1010" t="s">
        <v>172</v>
      </c>
      <c r="S44" s="2538"/>
      <c r="T44" s="2538"/>
      <c r="U44" s="2538"/>
      <c r="V44" s="2538"/>
      <c r="W44" s="1011"/>
      <c r="X44" s="22386"/>
      <c r="Y44" s="1951"/>
      <c r="Z44" s="1951"/>
      <c r="AA44" s="1951"/>
      <c r="AB44" s="1951"/>
      <c r="AC44" s="1951"/>
      <c r="AD44" s="1951"/>
      <c r="AE44" s="1951"/>
      <c r="AF44" s="1951"/>
      <c r="AG44" s="1951"/>
      <c r="AH44" s="1951"/>
      <c r="AI44" s="1951"/>
      <c r="AJ44" s="1951"/>
      <c r="AK44" s="1951"/>
      <c r="AL44" s="22386"/>
      <c r="AM44" s="22386"/>
      <c r="AN44" s="22386"/>
      <c r="AO44" s="22386"/>
      <c r="AP44" s="22386"/>
      <c r="AQ44" s="22386"/>
      <c r="AR44" s="22386"/>
    </row>
    <row customHeight="1" ht="17.25">
      <c r="A45" s="2532"/>
      <c r="B45" s="22386"/>
      <c r="C45" s="2537"/>
      <c r="D45" s="2522"/>
      <c r="E45" s="2539"/>
      <c r="F45" s="2476"/>
      <c r="G45" s="2540"/>
      <c r="H45" s="3195"/>
      <c r="I45" s="3195"/>
      <c r="J45" s="3225"/>
      <c r="K45" s="2804"/>
      <c r="L45" s="1009"/>
      <c r="M45" s="1010"/>
      <c r="N45" s="1010" t="s">
        <v>173</v>
      </c>
      <c r="O45" s="1010"/>
      <c r="P45" s="1010"/>
      <c r="Q45" s="1010"/>
      <c r="R45" s="1010"/>
      <c r="S45" s="2538"/>
      <c r="T45" s="2538"/>
      <c r="U45" s="2538"/>
      <c r="V45" s="2538"/>
      <c r="W45" s="1011"/>
      <c r="X45" s="22386"/>
      <c r="Y45" s="1951"/>
      <c r="Z45" s="1951"/>
      <c r="AA45" s="1951"/>
      <c r="AB45" s="1951"/>
      <c r="AC45" s="1951"/>
      <c r="AD45" s="1951"/>
      <c r="AE45" s="1951"/>
      <c r="AF45" s="1951"/>
      <c r="AG45" s="1951"/>
      <c r="AH45" s="1951"/>
      <c r="AI45" s="1951"/>
      <c r="AJ45" s="1951"/>
      <c r="AK45" s="1951"/>
      <c r="AL45" s="22386"/>
      <c r="AM45" s="22386"/>
      <c r="AN45" s="22386"/>
      <c r="AO45" s="22386"/>
      <c r="AP45" s="22386"/>
      <c r="AQ45" s="22386"/>
      <c r="AR45" s="22386"/>
    </row>
    <row customHeight="1" ht="17.25">
      <c r="A46" s="2532"/>
      <c r="B46" s="22386"/>
      <c r="C46" s="2534"/>
      <c r="D46" s="2522"/>
      <c r="E46" s="2539"/>
      <c r="F46" s="2476"/>
      <c r="G46" s="2540"/>
      <c r="H46" s="3221" t="s">
        <v>104</v>
      </c>
      <c r="I46" s="3221" t="s">
        <v>93</v>
      </c>
      <c r="J46" s="3193" t="s">
        <v>215</v>
      </c>
      <c r="K46" s="2877" t="s">
        <v>67</v>
      </c>
      <c r="L46" s="2800"/>
      <c r="M46" s="2800" t="s">
        <v>118</v>
      </c>
      <c r="N46" s="3196" t="str">
        <f>IF(Z46="","",INDEX(TERRITORY_MR_LIST,MATCH(Z46,TERRITORY_LIST_ID,0)))</f>
        <v>Территория 3</v>
      </c>
      <c r="O46" s="2877" t="s">
        <v>19</v>
      </c>
      <c r="P46" s="2800"/>
      <c r="Q46" s="2800" t="s">
        <v>118</v>
      </c>
      <c r="R46" s="22396" t="s">
        <v>28</v>
      </c>
      <c r="S46" s="2799" t="s">
        <v>19</v>
      </c>
      <c r="T46" s="2503"/>
      <c r="U46" s="2503" t="s">
        <v>118</v>
      </c>
      <c r="V46" s="22460" t="s">
        <v>28</v>
      </c>
      <c r="W46" s="2493"/>
      <c r="X46" s="22386"/>
      <c r="Y46" s="1959"/>
      <c r="Z46" s="1959" t="s">
        <v>108</v>
      </c>
      <c r="AA46" s="1959"/>
      <c r="AB46" s="1959"/>
      <c r="AC46" s="22400" t="s">
        <v>190</v>
      </c>
      <c r="AD46" s="1959" t="s">
        <v>216</v>
      </c>
      <c r="AE46" s="1959" t="s">
        <v>217</v>
      </c>
      <c r="AF46" s="1959" t="s">
        <v>218</v>
      </c>
      <c r="AG46" s="1959" t="s">
        <v>219</v>
      </c>
      <c r="AH46" s="1959" t="str">
        <f>IF($E$26=0,"",$E$26)</f>
        <v>Тарифы на тепловую энергию (мощность), поставляемую теплоснабжающими организациями потребителям, другим теплоснабжающим организациям</v>
      </c>
      <c r="AI46" s="1959"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6" s="1959" t="str">
        <f>IF($J$46=0,"",$J$46)</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AK46" s="1959" t="str">
        <f>IF($K$46="нет","без дифференциации",IF($N$46=0,"",$N$46))</f>
        <v>Территория 3</v>
      </c>
      <c r="AL46" s="2536" t="str">
        <f>IF($O$46="нет","без дифференциации",IF($R$46=0,"",$R$46))</f>
        <v>без дифференциации</v>
      </c>
      <c r="AM46" s="2536" t="str">
        <f>IF($S$46="нет","без дифференциации",IF($V$46=0,"",$V$46))</f>
        <v>без дифференциации</v>
      </c>
      <c r="AN46" s="1959" t="str">
        <f>$I$46</f>
        <v>6</v>
      </c>
      <c r="AO46" s="1959" t="str">
        <f>$I$46&amp;"."&amp;$M$46</f>
        <v>6.1</v>
      </c>
      <c r="AP46" s="1959" t="str">
        <f>$I$46&amp;"."&amp;$M$46&amp;"."&amp;$Q$46</f>
        <v>6.1.1</v>
      </c>
      <c r="AQ46" s="1959" t="str">
        <f>$I$46&amp;"."&amp;$M$46&amp;"."&amp;$Q$46&amp;"."&amp;$U$46</f>
        <v>6.1.1.1</v>
      </c>
      <c r="AR46" s="22386"/>
    </row>
    <row customHeight="1" ht="17.25">
      <c r="A47" s="2532"/>
      <c r="B47" s="22386"/>
      <c r="C47" s="2537"/>
      <c r="D47" s="2522"/>
      <c r="E47" s="2539"/>
      <c r="F47" s="2476"/>
      <c r="G47" s="2540"/>
      <c r="H47" s="3221"/>
      <c r="I47" s="3221"/>
      <c r="J47" s="3193"/>
      <c r="K47" s="2878"/>
      <c r="L47" s="2800"/>
      <c r="M47" s="2800"/>
      <c r="N47" s="3196"/>
      <c r="O47" s="2878"/>
      <c r="P47" s="2800"/>
      <c r="Q47" s="2800"/>
      <c r="R47" s="22396" t="s">
        <v>28</v>
      </c>
      <c r="S47" s="2799"/>
      <c r="T47" s="1009"/>
      <c r="U47" s="1010"/>
      <c r="V47" s="1010" t="s">
        <v>171</v>
      </c>
      <c r="W47" s="1011"/>
      <c r="X47" s="22386"/>
      <c r="Y47" s="1951"/>
      <c r="Z47" s="1951"/>
      <c r="AA47" s="1951"/>
      <c r="AB47" s="1951"/>
      <c r="AC47" s="1951"/>
      <c r="AD47" s="1951"/>
      <c r="AE47" s="1951"/>
      <c r="AF47" s="1951"/>
      <c r="AG47" s="1951"/>
      <c r="AH47" s="1951"/>
      <c r="AI47" s="1951"/>
      <c r="AJ47" s="1951"/>
      <c r="AK47" s="1951"/>
      <c r="AL47" s="22386"/>
      <c r="AM47" s="22386"/>
      <c r="AN47" s="22386"/>
      <c r="AO47" s="22386"/>
      <c r="AP47" s="22386"/>
      <c r="AQ47" s="22386"/>
      <c r="AR47" s="22386"/>
    </row>
    <row customHeight="1" ht="17.25">
      <c r="A48" s="2532"/>
      <c r="B48" s="22386"/>
      <c r="C48" s="2537"/>
      <c r="D48" s="2522"/>
      <c r="E48" s="2539"/>
      <c r="F48" s="2476"/>
      <c r="G48" s="2540"/>
      <c r="H48" s="3195"/>
      <c r="I48" s="3195"/>
      <c r="J48" s="3225"/>
      <c r="K48" s="2878"/>
      <c r="L48" s="3195"/>
      <c r="M48" s="3195"/>
      <c r="N48" s="3197"/>
      <c r="O48" s="2804"/>
      <c r="P48" s="1009"/>
      <c r="Q48" s="1010"/>
      <c r="R48" s="1010" t="s">
        <v>172</v>
      </c>
      <c r="S48" s="2538"/>
      <c r="T48" s="2538"/>
      <c r="U48" s="2538"/>
      <c r="V48" s="2538"/>
      <c r="W48" s="1011"/>
      <c r="X48" s="22386"/>
      <c r="Y48" s="1951"/>
      <c r="Z48" s="1951"/>
      <c r="AA48" s="1951"/>
      <c r="AB48" s="1951"/>
      <c r="AC48" s="1951"/>
      <c r="AD48" s="1951"/>
      <c r="AE48" s="1951"/>
      <c r="AF48" s="1951"/>
      <c r="AG48" s="1951"/>
      <c r="AH48" s="1951"/>
      <c r="AI48" s="1951"/>
      <c r="AJ48" s="1951"/>
      <c r="AK48" s="1951"/>
      <c r="AL48" s="22386"/>
      <c r="AM48" s="22386"/>
      <c r="AN48" s="22386"/>
      <c r="AO48" s="22386"/>
      <c r="AP48" s="22386"/>
      <c r="AQ48" s="22386"/>
      <c r="AR48" s="22386"/>
    </row>
    <row customHeight="1" ht="17.25">
      <c r="A49" s="2532"/>
      <c r="B49" s="22386"/>
      <c r="C49" s="2537"/>
      <c r="D49" s="2522"/>
      <c r="E49" s="2539"/>
      <c r="F49" s="2476"/>
      <c r="G49" s="2540"/>
      <c r="H49" s="3195"/>
      <c r="I49" s="3195"/>
      <c r="J49" s="3225"/>
      <c r="K49" s="2804"/>
      <c r="L49" s="1009"/>
      <c r="M49" s="1010"/>
      <c r="N49" s="1010" t="s">
        <v>173</v>
      </c>
      <c r="O49" s="1010"/>
      <c r="P49" s="1010"/>
      <c r="Q49" s="1010"/>
      <c r="R49" s="1010"/>
      <c r="S49" s="2538"/>
      <c r="T49" s="2538"/>
      <c r="U49" s="2538"/>
      <c r="V49" s="2538"/>
      <c r="W49" s="1011"/>
      <c r="X49" s="22386"/>
      <c r="Y49" s="1951"/>
      <c r="Z49" s="1951"/>
      <c r="AA49" s="1951"/>
      <c r="AB49" s="1951"/>
      <c r="AC49" s="1951"/>
      <c r="AD49" s="1951"/>
      <c r="AE49" s="1951"/>
      <c r="AF49" s="1951"/>
      <c r="AG49" s="1951"/>
      <c r="AH49" s="1951"/>
      <c r="AI49" s="1951"/>
      <c r="AJ49" s="1951"/>
      <c r="AK49" s="1951"/>
      <c r="AL49" s="22386"/>
      <c r="AM49" s="22386"/>
      <c r="AN49" s="22386"/>
      <c r="AO49" s="22386"/>
      <c r="AP49" s="22386"/>
      <c r="AQ49" s="22386"/>
      <c r="AR49" s="22386"/>
    </row>
    <row s="63055" customFormat="1" customHeight="1" ht="17.25">
      <c r="A50" s="1013"/>
      <c r="C50" s="1012"/>
      <c r="D50" s="2828"/>
      <c r="E50" s="2857"/>
      <c r="F50" s="2839"/>
      <c r="G50" s="22414"/>
      <c r="H50" s="22461"/>
      <c r="I50" s="22462"/>
      <c r="J50" s="22463" t="s">
        <v>186</v>
      </c>
      <c r="K50" s="22464"/>
      <c r="L50" s="22465"/>
      <c r="M50" s="22466"/>
      <c r="N50" s="22467"/>
      <c r="O50" s="22468"/>
      <c r="P50" s="22469"/>
      <c r="Q50" s="22470"/>
      <c r="R50" s="22471"/>
      <c r="S50" s="22472"/>
      <c r="T50" s="22473"/>
      <c r="U50" s="22474"/>
      <c r="V50" s="22475"/>
      <c r="W50" s="22476"/>
      <c r="X50" s="1951"/>
      <c r="Y50" s="1951"/>
      <c r="Z50" s="1951"/>
      <c r="AA50" s="1951"/>
      <c r="AB50" s="1951"/>
      <c r="AC50" s="1951"/>
      <c r="AD50" s="1951"/>
      <c r="AE50" s="1951"/>
      <c r="AF50" s="1951"/>
      <c r="AG50" s="1951"/>
      <c r="AH50" s="1951"/>
      <c r="AI50" s="1951"/>
      <c r="AJ50" s="1951"/>
      <c r="AK50" s="1951"/>
      <c r="AL50" s="1951"/>
      <c r="AM50" s="1951"/>
      <c r="AN50" s="1951"/>
      <c r="AO50" s="1951"/>
      <c r="AP50" s="1951"/>
      <c r="AQ50" s="1951"/>
      <c r="AR50" s="1975">
        <v>0</v>
      </c>
    </row>
    <row s="63055" customFormat="1" customHeight="1" ht="17.25" hidden="1">
      <c r="A51" s="1013"/>
      <c r="C51" s="901"/>
      <c r="D51" s="2827">
        <v>2</v>
      </c>
      <c r="E51" s="2835" t="s">
        <v>187</v>
      </c>
      <c r="F51" s="2837" t="s">
        <v>19</v>
      </c>
      <c r="G51" s="2835"/>
      <c r="H51" s="2840"/>
      <c r="I51" s="2842"/>
      <c r="J51" s="2844"/>
      <c r="K51" s="2829"/>
      <c r="L51" s="2829"/>
      <c r="M51" s="2829"/>
      <c r="N51" s="2831"/>
      <c r="O51" s="2829"/>
      <c r="P51" s="2829"/>
      <c r="Q51" s="2829"/>
      <c r="R51" s="2834"/>
      <c r="S51" s="2829"/>
      <c r="T51" s="2690"/>
      <c r="U51" s="2690"/>
      <c r="V51" s="2692"/>
      <c r="W51" s="1988"/>
      <c r="X51" s="1959"/>
      <c r="Y51" s="1959"/>
      <c r="Z51" s="1959" t="s">
        <v>28</v>
      </c>
      <c r="AA51" s="1959" t="s">
        <v>28</v>
      </c>
      <c r="AB51" s="1959" t="s">
        <v>28</v>
      </c>
      <c r="AC51" s="1959" t="s">
        <v>28</v>
      </c>
      <c r="AD51" s="1959" t="s">
        <v>28</v>
      </c>
      <c r="AE51" s="1959" t="s">
        <v>28</v>
      </c>
      <c r="AF51" s="1959" t="s">
        <v>28</v>
      </c>
      <c r="AG51" s="1959" t="s">
        <v>28</v>
      </c>
      <c r="AH51" s="1959" t="s">
        <v>28</v>
      </c>
      <c r="AI51" s="1959" t="s">
        <v>28</v>
      </c>
      <c r="AJ51" s="1959" t="s">
        <v>28</v>
      </c>
      <c r="AK51" s="1959" t="s">
        <v>28</v>
      </c>
      <c r="AL51" s="1959" t="s">
        <v>28</v>
      </c>
      <c r="AM51" s="1959" t="s">
        <v>28</v>
      </c>
      <c r="AN51" s="2464" t="s">
        <v>28</v>
      </c>
      <c r="AO51" s="1959" t="s">
        <v>28</v>
      </c>
      <c r="AP51" s="1958" t="s">
        <v>28</v>
      </c>
      <c r="AQ51" s="1958" t="s">
        <v>28</v>
      </c>
      <c r="AR51" s="2159">
        <v>0</v>
      </c>
    </row>
    <row s="63055" customFormat="1" customHeight="1" ht="17.25" hidden="1">
      <c r="A52" s="1013"/>
      <c r="C52" s="1012"/>
      <c r="D52" s="2827"/>
      <c r="E52" s="2835"/>
      <c r="F52" s="2838"/>
      <c r="G52" s="2835"/>
      <c r="H52" s="2841"/>
      <c r="I52" s="2843"/>
      <c r="J52" s="2845"/>
      <c r="K52" s="2830"/>
      <c r="L52" s="2830"/>
      <c r="M52" s="2830"/>
      <c r="N52" s="2832"/>
      <c r="O52" s="2830"/>
      <c r="P52" s="2830"/>
      <c r="Q52" s="2830"/>
      <c r="R52" s="2833"/>
      <c r="S52" s="2830"/>
      <c r="T52" s="2695"/>
      <c r="U52" s="2695"/>
      <c r="V52" s="2695"/>
      <c r="W52" s="2696"/>
      <c r="X52" s="1958"/>
      <c r="Y52" s="1958"/>
      <c r="Z52" s="1958"/>
      <c r="AA52" s="1958"/>
      <c r="AB52" s="1958"/>
      <c r="AC52" s="1958"/>
      <c r="AD52" s="1958"/>
      <c r="AE52" s="1958"/>
      <c r="AF52" s="1958"/>
      <c r="AG52" s="1958"/>
      <c r="AH52" s="1958"/>
      <c r="AI52" s="1958"/>
      <c r="AJ52" s="1958"/>
      <c r="AK52" s="1958"/>
      <c r="AL52" s="1958"/>
      <c r="AM52" s="1958"/>
      <c r="AN52" s="1958"/>
      <c r="AO52" s="1958"/>
      <c r="AP52" s="1958"/>
      <c r="AQ52" s="1958"/>
      <c r="AR52" s="2159">
        <v>0</v>
      </c>
    </row>
    <row s="63055" customFormat="1" customHeight="1" ht="17.25" hidden="1">
      <c r="A53" s="1013"/>
      <c r="C53" s="1012"/>
      <c r="D53" s="2828"/>
      <c r="E53" s="2836"/>
      <c r="F53" s="2838"/>
      <c r="G53" s="2836"/>
      <c r="H53" s="2841"/>
      <c r="I53" s="2843"/>
      <c r="J53" s="2846"/>
      <c r="K53" s="2830"/>
      <c r="L53" s="2830"/>
      <c r="M53" s="2830"/>
      <c r="N53" s="2833"/>
      <c r="O53" s="2830"/>
      <c r="P53" s="2691"/>
      <c r="Q53" s="2695"/>
      <c r="R53" s="2695"/>
      <c r="S53" s="1021"/>
      <c r="T53" s="1021"/>
      <c r="U53" s="1021"/>
      <c r="V53" s="1021"/>
      <c r="W53" s="2696"/>
      <c r="X53" s="1958"/>
      <c r="Y53" s="1958"/>
      <c r="Z53" s="1958"/>
      <c r="AA53" s="1958"/>
      <c r="AB53" s="1958"/>
      <c r="AC53" s="1958"/>
      <c r="AD53" s="1958"/>
      <c r="AE53" s="1958"/>
      <c r="AF53" s="1958"/>
      <c r="AG53" s="1958"/>
      <c r="AH53" s="1958"/>
      <c r="AI53" s="1958"/>
      <c r="AJ53" s="1958"/>
      <c r="AK53" s="1958"/>
      <c r="AL53" s="1958"/>
      <c r="AM53" s="1958"/>
      <c r="AN53" s="1958"/>
      <c r="AO53" s="1958"/>
      <c r="AP53" s="1958"/>
      <c r="AQ53" s="1958"/>
      <c r="AR53" s="2159">
        <v>0</v>
      </c>
    </row>
    <row s="63055" customFormat="1" customHeight="1" ht="17.25" hidden="1">
      <c r="A54" s="1013"/>
      <c r="C54" s="1012"/>
      <c r="D54" s="2828"/>
      <c r="E54" s="2836"/>
      <c r="F54" s="2838"/>
      <c r="G54" s="2836"/>
      <c r="H54" s="2841"/>
      <c r="I54" s="2843"/>
      <c r="J54" s="2846"/>
      <c r="K54" s="2830"/>
      <c r="L54" s="2695"/>
      <c r="M54" s="2695"/>
      <c r="N54" s="2695"/>
      <c r="O54" s="2695"/>
      <c r="P54" s="2695"/>
      <c r="Q54" s="2695"/>
      <c r="R54" s="2695"/>
      <c r="S54" s="1021"/>
      <c r="T54" s="1021"/>
      <c r="U54" s="1021"/>
      <c r="V54" s="1021"/>
      <c r="W54" s="2696"/>
      <c r="X54" s="1958"/>
      <c r="Y54" s="1958"/>
      <c r="Z54" s="1958"/>
      <c r="AA54" s="1958"/>
      <c r="AB54" s="1958"/>
      <c r="AC54" s="1958"/>
      <c r="AD54" s="1958"/>
      <c r="AE54" s="1958"/>
      <c r="AF54" s="1958"/>
      <c r="AG54" s="1958"/>
      <c r="AH54" s="1958"/>
      <c r="AI54" s="1958"/>
      <c r="AJ54" s="1958"/>
      <c r="AK54" s="1958"/>
      <c r="AL54" s="1958"/>
      <c r="AM54" s="1958"/>
      <c r="AN54" s="1958"/>
      <c r="AO54" s="1958"/>
      <c r="AP54" s="1958"/>
      <c r="AQ54" s="1958"/>
      <c r="AR54" s="2159">
        <v>0</v>
      </c>
    </row>
    <row s="63055" customFormat="1" customHeight="1" ht="17.25" hidden="1">
      <c r="A55" s="1013"/>
      <c r="C55" s="1012"/>
      <c r="D55" s="2828"/>
      <c r="E55" s="2836"/>
      <c r="F55" s="2839"/>
      <c r="G55" s="2836"/>
      <c r="H55" s="1991"/>
      <c r="I55" s="2693"/>
      <c r="J55" s="2693"/>
      <c r="K55" s="2693"/>
      <c r="L55" s="2693"/>
      <c r="M55" s="2693"/>
      <c r="N55" s="2693"/>
      <c r="O55" s="2693"/>
      <c r="P55" s="2693"/>
      <c r="Q55" s="2693"/>
      <c r="R55" s="2693"/>
      <c r="S55" s="1993"/>
      <c r="T55" s="1993"/>
      <c r="U55" s="1993"/>
      <c r="V55" s="1993"/>
      <c r="W55" s="2694"/>
      <c r="X55" s="1958"/>
      <c r="Y55" s="1958"/>
      <c r="Z55" s="1958"/>
      <c r="AA55" s="1958"/>
      <c r="AB55" s="1958"/>
      <c r="AC55" s="1958"/>
      <c r="AD55" s="1958"/>
      <c r="AE55" s="1958"/>
      <c r="AF55" s="1958"/>
      <c r="AG55" s="1958"/>
      <c r="AH55" s="1958"/>
      <c r="AI55" s="1958"/>
      <c r="AJ55" s="1958"/>
      <c r="AK55" s="1958"/>
      <c r="AL55" s="1958"/>
      <c r="AM55" s="1958"/>
      <c r="AN55" s="1958"/>
      <c r="AO55" s="1958"/>
      <c r="AP55" s="1958"/>
      <c r="AQ55" s="1958"/>
      <c r="AR55" s="2159">
        <v>0</v>
      </c>
    </row>
    <row s="63055" customFormat="1" customHeight="1" ht="17.25">
      <c r="A56" s="1013"/>
      <c r="C56" s="901"/>
      <c r="D56" s="2827">
        <v>3</v>
      </c>
      <c r="E56" s="2835" t="s">
        <v>220</v>
      </c>
      <c r="F56" s="2837" t="s">
        <v>67</v>
      </c>
      <c r="G56" s="3760" t="str">
        <f>INDEX(VD_NAME_LIST,MATCH("4190067",VD_ID_LIST,0))&amp;"; "&amp;INDEX(VD_NAME_LIST,MATCH("4190069",VD_ID_LIST,0))&amp;"; "&amp;INDEX(VD_NAME_LIST,MATCH("4190071",VD_ID_LIST,0))</f>
        <v>Производство. Теплоноситель; Передача. Теплоноситель; Сбыт. Теплоноситель</v>
      </c>
      <c r="H56" s="3761"/>
      <c r="I56" s="3761">
        <v>1</v>
      </c>
      <c r="J56" s="3762" t="s">
        <v>221</v>
      </c>
      <c r="K56" s="3763" t="s">
        <v>67</v>
      </c>
      <c r="L56" s="3764"/>
      <c r="M56" s="3764" t="s">
        <v>118</v>
      </c>
      <c r="N56" s="3765" t="str">
        <f>IF(Z56="","",INDEX(TERRITORY_MR_LIST,MATCH(Z56,TERRITORY_LIST_ID,0)))</f>
        <v>Территория 1</v>
      </c>
      <c r="O56" s="3763" t="s">
        <v>19</v>
      </c>
      <c r="P56" s="3764"/>
      <c r="Q56" s="3764" t="s">
        <v>118</v>
      </c>
      <c r="R56" s="3766" t="s">
        <v>28</v>
      </c>
      <c r="S56" s="3767" t="s">
        <v>19</v>
      </c>
      <c r="T56" s="3764"/>
      <c r="U56" s="3764" t="s">
        <v>118</v>
      </c>
      <c r="V56" s="3766" t="s">
        <v>28</v>
      </c>
      <c r="W56" s="3762"/>
      <c r="X56" s="1959"/>
      <c r="Y56" s="1959"/>
      <c r="Z56" s="1959" t="s">
        <v>99</v>
      </c>
      <c r="AA56" s="1959"/>
      <c r="AB56" s="1959" t="s">
        <v>222</v>
      </c>
      <c r="AC56" s="1959" t="s">
        <v>223</v>
      </c>
      <c r="AD56" s="1959" t="s">
        <v>224</v>
      </c>
      <c r="AE56" s="1959" t="s">
        <v>225</v>
      </c>
      <c r="AF56" s="1959" t="s">
        <v>226</v>
      </c>
      <c r="AG56" s="1959" t="s">
        <v>227</v>
      </c>
      <c r="AH56" s="1959" t="str">
        <f>IF($E$56=0,"",$E$56)</f>
        <v>Тарифы на теплоноситель, поставляемый теплоснабжающими организациями потребителям, другим теплоснабжающим организациям</v>
      </c>
      <c r="AI56" s="1959" t="str">
        <f>IF($G$56=0,"",$G$56)</f>
        <v>Производство. Теплоноситель; Передача. Теплоноситель; Сбыт. Теплоноситель</v>
      </c>
      <c r="AJ56" s="1959" t="str">
        <f>IF($J$56=0,"",$J$56)</f>
        <v>Тарифы на теплоноситель, поставляемый потребителям Артемовского городского округа</v>
      </c>
      <c r="AK56" s="1959" t="str">
        <f>IF($K$56="нет","без дифференциации",IF($N$56=0,"",$N$56))</f>
        <v>Территория 1</v>
      </c>
      <c r="AL56" s="1959" t="str">
        <f>IF($O$56="нет","без дифференциации",IF($R$56=0,"",$R$56))</f>
        <v>без дифференциации</v>
      </c>
      <c r="AM56" s="1959" t="str">
        <f>IF($S$56="нет","без дифференциации",IF($V$56=0,"",$V$56))</f>
        <v>без дифференциации</v>
      </c>
      <c r="AN56" s="2464">
        <f>$I$56</f>
        <v>1</v>
      </c>
      <c r="AO56" s="1959" t="str">
        <f>$I$56&amp;"."&amp;$M$56</f>
        <v>1.1</v>
      </c>
      <c r="AP56" s="1951" t="str">
        <f>$I$56&amp;"."&amp;$M$56&amp;"."&amp;$Q$56</f>
        <v>1.1.1</v>
      </c>
      <c r="AQ56" s="1951" t="str">
        <f>$I$56&amp;"."&amp;$M$56&amp;"."&amp;$Q$56&amp;"."&amp;$U$56</f>
        <v>1.1.1.1</v>
      </c>
      <c r="AR56" s="1975">
        <v>0</v>
      </c>
    </row>
    <row s="63055" customFormat="1" customHeight="1" ht="17.25">
      <c r="A57" s="1013"/>
      <c r="C57" s="1012"/>
      <c r="D57" s="2827"/>
      <c r="E57" s="2835"/>
      <c r="F57" s="2838"/>
      <c r="G57" s="3760"/>
      <c r="H57" s="3761"/>
      <c r="I57" s="3761"/>
      <c r="J57" s="3762"/>
      <c r="K57" s="3768"/>
      <c r="L57" s="3764"/>
      <c r="M57" s="3764"/>
      <c r="N57" s="3765"/>
      <c r="O57" s="3768"/>
      <c r="P57" s="3764"/>
      <c r="Q57" s="3764"/>
      <c r="R57" s="3766" t="s">
        <v>28</v>
      </c>
      <c r="S57" s="3767"/>
      <c r="T57" s="3769"/>
      <c r="U57" s="3770"/>
      <c r="V57" s="3771" t="s">
        <v>171</v>
      </c>
      <c r="W57" s="3772"/>
      <c r="X57" s="1951"/>
      <c r="Y57" s="1951"/>
      <c r="Z57" s="1951"/>
      <c r="AA57" s="1951"/>
      <c r="AB57" s="1951"/>
      <c r="AC57" s="1951"/>
      <c r="AD57" s="1951"/>
      <c r="AE57" s="1951"/>
      <c r="AF57" s="1951"/>
      <c r="AG57" s="1951"/>
      <c r="AH57" s="1951"/>
      <c r="AI57" s="1951"/>
      <c r="AJ57" s="1951"/>
      <c r="AK57" s="1951"/>
      <c r="AL57" s="1951"/>
      <c r="AM57" s="1951"/>
      <c r="AN57" s="1951"/>
      <c r="AO57" s="1951"/>
      <c r="AP57" s="1951"/>
      <c r="AQ57" s="1951"/>
      <c r="AR57" s="1975">
        <v>0</v>
      </c>
    </row>
    <row s="63055" customFormat="1" customHeight="1" ht="17.25">
      <c r="A58" s="1013"/>
      <c r="C58" s="1012"/>
      <c r="D58" s="2828"/>
      <c r="E58" s="2836"/>
      <c r="F58" s="2838"/>
      <c r="G58" s="3773"/>
      <c r="H58" s="3774"/>
      <c r="I58" s="3774"/>
      <c r="J58" s="3775"/>
      <c r="K58" s="3768"/>
      <c r="L58" s="3774"/>
      <c r="M58" s="3774"/>
      <c r="N58" s="3776"/>
      <c r="O58" s="3777"/>
      <c r="P58" s="3778"/>
      <c r="Q58" s="3779"/>
      <c r="R58" s="3780" t="s">
        <v>172</v>
      </c>
      <c r="S58" s="3781"/>
      <c r="T58" s="3782"/>
      <c r="U58" s="3783"/>
      <c r="V58" s="3784"/>
      <c r="W58" s="3785"/>
      <c r="X58" s="1951"/>
      <c r="Y58" s="1951"/>
      <c r="Z58" s="1951"/>
      <c r="AA58" s="1951"/>
      <c r="AB58" s="1951"/>
      <c r="AC58" s="1951"/>
      <c r="AD58" s="1951"/>
      <c r="AE58" s="1951"/>
      <c r="AF58" s="1951"/>
      <c r="AG58" s="1951"/>
      <c r="AH58" s="1951"/>
      <c r="AI58" s="1951"/>
      <c r="AJ58" s="1951"/>
      <c r="AK58" s="1951"/>
      <c r="AL58" s="1951"/>
      <c r="AM58" s="1951"/>
      <c r="AN58" s="1951"/>
      <c r="AO58" s="1951"/>
      <c r="AP58" s="1951"/>
      <c r="AQ58" s="1951"/>
      <c r="AR58" s="1975">
        <v>0</v>
      </c>
    </row>
    <row s="63055" customFormat="1" customHeight="1" ht="17.25">
      <c r="A59" s="1013"/>
      <c r="C59" s="1012"/>
      <c r="D59" s="2828"/>
      <c r="E59" s="2836"/>
      <c r="F59" s="2838"/>
      <c r="G59" s="3773"/>
      <c r="H59" s="3774"/>
      <c r="I59" s="3774"/>
      <c r="J59" s="3775"/>
      <c r="K59" s="3777"/>
      <c r="L59" s="3786"/>
      <c r="M59" s="3787"/>
      <c r="N59" s="3788" t="s">
        <v>173</v>
      </c>
      <c r="O59" s="3789"/>
      <c r="P59" s="3790"/>
      <c r="Q59" s="3791"/>
      <c r="R59" s="3792"/>
      <c r="S59" s="3793"/>
      <c r="T59" s="3794"/>
      <c r="U59" s="3795"/>
      <c r="V59" s="3796"/>
      <c r="W59" s="3797"/>
      <c r="X59" s="1951"/>
      <c r="Y59" s="1951"/>
      <c r="Z59" s="1951"/>
      <c r="AA59" s="1951"/>
      <c r="AB59" s="1951"/>
      <c r="AC59" s="1951"/>
      <c r="AD59" s="1951"/>
      <c r="AE59" s="1951"/>
      <c r="AF59" s="1951"/>
      <c r="AG59" s="1951"/>
      <c r="AH59" s="1951"/>
      <c r="AI59" s="1951"/>
      <c r="AJ59" s="1951"/>
      <c r="AK59" s="1951"/>
      <c r="AL59" s="1951"/>
      <c r="AM59" s="1951"/>
      <c r="AN59" s="1951"/>
      <c r="AO59" s="1951"/>
      <c r="AP59" s="1951"/>
      <c r="AQ59" s="1951"/>
      <c r="AR59" s="1975">
        <v>0</v>
      </c>
    </row>
    <row customHeight="1" ht="17.25">
      <c r="A60" s="2532"/>
      <c r="B60" s="3799"/>
      <c r="C60" s="2534"/>
      <c r="D60" s="2522"/>
      <c r="E60" s="2539"/>
      <c r="F60" s="2476"/>
      <c r="G60" s="2540"/>
      <c r="H60" s="3221" t="s">
        <v>104</v>
      </c>
      <c r="I60" s="3221" t="s">
        <v>103</v>
      </c>
      <c r="J60" s="3193" t="s">
        <v>228</v>
      </c>
      <c r="K60" s="2877" t="s">
        <v>67</v>
      </c>
      <c r="L60" s="2800"/>
      <c r="M60" s="2800" t="s">
        <v>118</v>
      </c>
      <c r="N60" s="3196" t="str">
        <f>IF(Z60="","",INDEX(TERRITORY_MR_LIST,MATCH(Z60,TERRITORY_LIST_ID,0)))</f>
        <v>Территория 2</v>
      </c>
      <c r="O60" s="2877" t="s">
        <v>19</v>
      </c>
      <c r="P60" s="2800"/>
      <c r="Q60" s="2800" t="s">
        <v>118</v>
      </c>
      <c r="R60" s="3808" t="s">
        <v>28</v>
      </c>
      <c r="S60" s="2799" t="s">
        <v>19</v>
      </c>
      <c r="T60" s="2503"/>
      <c r="U60" s="2503" t="s">
        <v>118</v>
      </c>
      <c r="V60" s="6716" t="s">
        <v>28</v>
      </c>
      <c r="W60" s="2493"/>
      <c r="X60" s="3799"/>
      <c r="Y60" s="1959"/>
      <c r="Z60" s="1959" t="s">
        <v>105</v>
      </c>
      <c r="AA60" s="1959"/>
      <c r="AB60" s="1959"/>
      <c r="AC60" s="3812" t="s">
        <v>223</v>
      </c>
      <c r="AD60" s="1959" t="s">
        <v>229</v>
      </c>
      <c r="AE60" s="1959" t="s">
        <v>230</v>
      </c>
      <c r="AF60" s="1959" t="s">
        <v>231</v>
      </c>
      <c r="AG60" s="1959" t="s">
        <v>232</v>
      </c>
      <c r="AH60" s="1959" t="str">
        <f>IF($E$56=0,"",$E$56)</f>
        <v>Тарифы на теплоноситель, поставляемый теплоснабжающими организациями потребителям, другим теплоснабжающим организациям</v>
      </c>
      <c r="AI60" s="1959" t="str">
        <f>IF($G$56=0,"",$G$56)</f>
        <v>Производство. Теплоноситель; Передача. Теплоноситель; Сбыт. Теплоноситель</v>
      </c>
      <c r="AJ60" s="1959" t="str">
        <f>IF($J$60=0,"",$J$60)</f>
        <v>Тарифы на теплоноситель, поставляемый потребителям Владивостокского городского округа</v>
      </c>
      <c r="AK60" s="1959" t="str">
        <f>IF($K$60="нет","без дифференциации",IF($N$60=0,"",$N$60))</f>
        <v>Территория 2</v>
      </c>
      <c r="AL60" s="2536" t="str">
        <f>IF($O$60="нет","без дифференциации",IF($R$60=0,"",$R$60))</f>
        <v>без дифференциации</v>
      </c>
      <c r="AM60" s="2536" t="str">
        <f>IF($S$60="нет","без дифференциации",IF($V$60=0,"",$V$60))</f>
        <v>без дифференциации</v>
      </c>
      <c r="AN60" s="1959" t="str">
        <f>$I$60</f>
        <v>2</v>
      </c>
      <c r="AO60" s="1959" t="str">
        <f>$I$60&amp;"."&amp;$M$60</f>
        <v>2.1</v>
      </c>
      <c r="AP60" s="1959" t="str">
        <f>$I$60&amp;"."&amp;$M$60&amp;"."&amp;$Q$60</f>
        <v>2.1.1</v>
      </c>
      <c r="AQ60" s="1959" t="str">
        <f>$I$60&amp;"."&amp;$M$60&amp;"."&amp;$Q$60&amp;"."&amp;$U$60</f>
        <v>2.1.1.1</v>
      </c>
      <c r="AR60" s="3799"/>
    </row>
    <row customHeight="1" ht="17.25">
      <c r="A61" s="2532"/>
      <c r="B61" s="3799"/>
      <c r="C61" s="2537"/>
      <c r="D61" s="2522"/>
      <c r="E61" s="2539"/>
      <c r="F61" s="2476"/>
      <c r="G61" s="2540"/>
      <c r="H61" s="3221"/>
      <c r="I61" s="3221"/>
      <c r="J61" s="3193"/>
      <c r="K61" s="2878"/>
      <c r="L61" s="2800"/>
      <c r="M61" s="2800"/>
      <c r="N61" s="3196"/>
      <c r="O61" s="2878"/>
      <c r="P61" s="2800"/>
      <c r="Q61" s="2800"/>
      <c r="R61" s="3808" t="s">
        <v>28</v>
      </c>
      <c r="S61" s="2799"/>
      <c r="T61" s="1009"/>
      <c r="U61" s="1010"/>
      <c r="V61" s="1010" t="s">
        <v>171</v>
      </c>
      <c r="W61" s="1011"/>
      <c r="X61" s="3799"/>
      <c r="Y61" s="1951"/>
      <c r="Z61" s="1951"/>
      <c r="AA61" s="1951"/>
      <c r="AB61" s="1951"/>
      <c r="AC61" s="1951"/>
      <c r="AD61" s="1951"/>
      <c r="AE61" s="1951"/>
      <c r="AF61" s="1951"/>
      <c r="AG61" s="1951"/>
      <c r="AH61" s="1951"/>
      <c r="AI61" s="1951"/>
      <c r="AJ61" s="1951"/>
      <c r="AK61" s="1951"/>
      <c r="AL61" s="3799"/>
      <c r="AM61" s="3799"/>
      <c r="AN61" s="3799"/>
      <c r="AO61" s="3799"/>
      <c r="AP61" s="3799"/>
      <c r="AQ61" s="3799"/>
      <c r="AR61" s="3799"/>
    </row>
    <row customHeight="1" ht="17.25">
      <c r="A62" s="2532"/>
      <c r="B62" s="3799"/>
      <c r="C62" s="2537"/>
      <c r="D62" s="2522"/>
      <c r="E62" s="2539"/>
      <c r="F62" s="2476"/>
      <c r="G62" s="2540"/>
      <c r="H62" s="3195"/>
      <c r="I62" s="3195"/>
      <c r="J62" s="3225"/>
      <c r="K62" s="2878"/>
      <c r="L62" s="3195"/>
      <c r="M62" s="3195"/>
      <c r="N62" s="3197"/>
      <c r="O62" s="2804"/>
      <c r="P62" s="1009"/>
      <c r="Q62" s="1010"/>
      <c r="R62" s="1010" t="s">
        <v>172</v>
      </c>
      <c r="S62" s="2538"/>
      <c r="T62" s="2538"/>
      <c r="U62" s="2538"/>
      <c r="V62" s="2538"/>
      <c r="W62" s="1011"/>
      <c r="X62" s="3799"/>
      <c r="Y62" s="1951"/>
      <c r="Z62" s="1951"/>
      <c r="AA62" s="1951"/>
      <c r="AB62" s="1951"/>
      <c r="AC62" s="1951"/>
      <c r="AD62" s="1951"/>
      <c r="AE62" s="1951"/>
      <c r="AF62" s="1951"/>
      <c r="AG62" s="1951"/>
      <c r="AH62" s="1951"/>
      <c r="AI62" s="1951"/>
      <c r="AJ62" s="1951"/>
      <c r="AK62" s="1951"/>
      <c r="AL62" s="3799"/>
      <c r="AM62" s="3799"/>
      <c r="AN62" s="3799"/>
      <c r="AO62" s="3799"/>
      <c r="AP62" s="3799"/>
      <c r="AQ62" s="3799"/>
      <c r="AR62" s="3799"/>
    </row>
    <row customHeight="1" ht="17.25">
      <c r="A63" s="2532"/>
      <c r="B63" s="3799"/>
      <c r="C63" s="2537"/>
      <c r="D63" s="2522"/>
      <c r="E63" s="2539"/>
      <c r="F63" s="2476"/>
      <c r="G63" s="2540"/>
      <c r="H63" s="3195"/>
      <c r="I63" s="3195"/>
      <c r="J63" s="3225"/>
      <c r="K63" s="2804"/>
      <c r="L63" s="1009"/>
      <c r="M63" s="1010"/>
      <c r="N63" s="1010" t="s">
        <v>173</v>
      </c>
      <c r="O63" s="1010"/>
      <c r="P63" s="1010"/>
      <c r="Q63" s="1010"/>
      <c r="R63" s="1010"/>
      <c r="S63" s="2538"/>
      <c r="T63" s="2538"/>
      <c r="U63" s="2538"/>
      <c r="V63" s="2538"/>
      <c r="W63" s="1011"/>
      <c r="X63" s="3799"/>
      <c r="Y63" s="1951"/>
      <c r="Z63" s="1951"/>
      <c r="AA63" s="1951"/>
      <c r="AB63" s="1951"/>
      <c r="AC63" s="1951"/>
      <c r="AD63" s="1951"/>
      <c r="AE63" s="1951"/>
      <c r="AF63" s="1951"/>
      <c r="AG63" s="1951"/>
      <c r="AH63" s="1951"/>
      <c r="AI63" s="1951"/>
      <c r="AJ63" s="1951"/>
      <c r="AK63" s="1951"/>
      <c r="AL63" s="3799"/>
      <c r="AM63" s="3799"/>
      <c r="AN63" s="3799"/>
      <c r="AO63" s="3799"/>
      <c r="AP63" s="3799"/>
      <c r="AQ63" s="3799"/>
      <c r="AR63" s="3799"/>
    </row>
    <row customHeight="1" ht="17.25">
      <c r="A64" s="2532"/>
      <c r="B64" s="3799"/>
      <c r="C64" s="2534"/>
      <c r="D64" s="2522"/>
      <c r="E64" s="2539"/>
      <c r="F64" s="2476"/>
      <c r="G64" s="2540"/>
      <c r="H64" s="3221" t="s">
        <v>104</v>
      </c>
      <c r="I64" s="3221" t="s">
        <v>91</v>
      </c>
      <c r="J64" s="3193" t="s">
        <v>233</v>
      </c>
      <c r="K64" s="2877" t="s">
        <v>67</v>
      </c>
      <c r="L64" s="2800"/>
      <c r="M64" s="2800" t="s">
        <v>118</v>
      </c>
      <c r="N64" s="3196" t="str">
        <f>IF(Z64="","",INDEX(TERRITORY_MR_LIST,MATCH(Z64,TERRITORY_LIST_ID,0)))</f>
        <v>Территория 3</v>
      </c>
      <c r="O64" s="2877" t="s">
        <v>19</v>
      </c>
      <c r="P64" s="2800"/>
      <c r="Q64" s="2800" t="s">
        <v>118</v>
      </c>
      <c r="R64" s="6729" t="s">
        <v>28</v>
      </c>
      <c r="S64" s="2799" t="s">
        <v>19</v>
      </c>
      <c r="T64" s="2503"/>
      <c r="U64" s="2503" t="s">
        <v>118</v>
      </c>
      <c r="V64" s="6716" t="s">
        <v>28</v>
      </c>
      <c r="W64" s="2493"/>
      <c r="X64" s="3799"/>
      <c r="Y64" s="1959"/>
      <c r="Z64" s="1959" t="s">
        <v>108</v>
      </c>
      <c r="AA64" s="1959"/>
      <c r="AB64" s="1959"/>
      <c r="AC64" s="3812" t="s">
        <v>223</v>
      </c>
      <c r="AD64" s="1959" t="s">
        <v>234</v>
      </c>
      <c r="AE64" s="1959" t="s">
        <v>235</v>
      </c>
      <c r="AF64" s="1959" t="s">
        <v>236</v>
      </c>
      <c r="AG64" s="1959" t="s">
        <v>237</v>
      </c>
      <c r="AH64" s="1959" t="str">
        <f>IF($E$56=0,"",$E$56)</f>
        <v>Тарифы на теплоноситель, поставляемый теплоснабжающими организациями потребителям, другим теплоснабжающим организациям</v>
      </c>
      <c r="AI64" s="1959" t="str">
        <f>IF($G$56=0,"",$G$56)</f>
        <v>Производство. Теплоноситель; Передача. Теплоноситель; Сбыт. Теплоноситель</v>
      </c>
      <c r="AJ64" s="1959" t="str">
        <f>IF($J$64=0,"",$J$64)</f>
        <v>Тарифы на теплоноситель, поставляемый потребителям Партизанского городского округа</v>
      </c>
      <c r="AK64" s="1959" t="str">
        <f>IF($K$64="нет","без дифференциации",IF($N$64=0,"",$N$64))</f>
        <v>Территория 3</v>
      </c>
      <c r="AL64" s="2536" t="str">
        <f>IF($O$64="нет","без дифференциации",IF($R$64=0,"",$R$64))</f>
        <v>без дифференциации</v>
      </c>
      <c r="AM64" s="2536" t="str">
        <f>IF($S$64="нет","без дифференциации",IF($V$64=0,"",$V$64))</f>
        <v>без дифференциации</v>
      </c>
      <c r="AN64" s="1959" t="str">
        <f>$I$64</f>
        <v>3</v>
      </c>
      <c r="AO64" s="1959" t="str">
        <f>$I$64&amp;"."&amp;$M$64</f>
        <v>3.1</v>
      </c>
      <c r="AP64" s="1959" t="str">
        <f>$I$64&amp;"."&amp;$M$64&amp;"."&amp;$Q$64</f>
        <v>3.1.1</v>
      </c>
      <c r="AQ64" s="1959" t="str">
        <f>$I$64&amp;"."&amp;$M$64&amp;"."&amp;$Q$64&amp;"."&amp;$U$64</f>
        <v>3.1.1.1</v>
      </c>
      <c r="AR64" s="3799"/>
    </row>
    <row customHeight="1" ht="17.25">
      <c r="A65" s="2532"/>
      <c r="B65" s="3799"/>
      <c r="C65" s="2537"/>
      <c r="D65" s="2522"/>
      <c r="E65" s="2539"/>
      <c r="F65" s="2476"/>
      <c r="G65" s="2540"/>
      <c r="H65" s="3221"/>
      <c r="I65" s="3221"/>
      <c r="J65" s="3193"/>
      <c r="K65" s="2878"/>
      <c r="L65" s="2800"/>
      <c r="M65" s="2800"/>
      <c r="N65" s="3196"/>
      <c r="O65" s="2878"/>
      <c r="P65" s="2800"/>
      <c r="Q65" s="2800"/>
      <c r="R65" s="6729" t="s">
        <v>28</v>
      </c>
      <c r="S65" s="2799"/>
      <c r="T65" s="1009"/>
      <c r="U65" s="1010"/>
      <c r="V65" s="1010" t="s">
        <v>171</v>
      </c>
      <c r="W65" s="1011"/>
      <c r="X65" s="3799"/>
      <c r="Y65" s="1951"/>
      <c r="Z65" s="1951"/>
      <c r="AA65" s="1951"/>
      <c r="AB65" s="1951"/>
      <c r="AC65" s="1951"/>
      <c r="AD65" s="1951"/>
      <c r="AE65" s="1951"/>
      <c r="AF65" s="1951"/>
      <c r="AG65" s="1951"/>
      <c r="AH65" s="1951"/>
      <c r="AI65" s="1951"/>
      <c r="AJ65" s="1951"/>
      <c r="AK65" s="1951"/>
      <c r="AL65" s="3799"/>
      <c r="AM65" s="3799"/>
      <c r="AN65" s="3799"/>
      <c r="AO65" s="3799"/>
      <c r="AP65" s="3799"/>
      <c r="AQ65" s="3799"/>
      <c r="AR65" s="3799"/>
    </row>
    <row customHeight="1" ht="17.25">
      <c r="A66" s="2532"/>
      <c r="B66" s="3799"/>
      <c r="C66" s="2537"/>
      <c r="D66" s="2522"/>
      <c r="E66" s="2539"/>
      <c r="F66" s="2476"/>
      <c r="G66" s="2540"/>
      <c r="H66" s="3195"/>
      <c r="I66" s="3195"/>
      <c r="J66" s="3225"/>
      <c r="K66" s="2878"/>
      <c r="L66" s="3195"/>
      <c r="M66" s="3195"/>
      <c r="N66" s="3197"/>
      <c r="O66" s="2804"/>
      <c r="P66" s="1009"/>
      <c r="Q66" s="1010"/>
      <c r="R66" s="1010" t="s">
        <v>172</v>
      </c>
      <c r="S66" s="2538"/>
      <c r="T66" s="2538"/>
      <c r="U66" s="2538"/>
      <c r="V66" s="2538"/>
      <c r="W66" s="1011"/>
      <c r="X66" s="3799"/>
      <c r="Y66" s="1951"/>
      <c r="Z66" s="1951"/>
      <c r="AA66" s="1951"/>
      <c r="AB66" s="1951"/>
      <c r="AC66" s="1951"/>
      <c r="AD66" s="1951"/>
      <c r="AE66" s="1951"/>
      <c r="AF66" s="1951"/>
      <c r="AG66" s="1951"/>
      <c r="AH66" s="1951"/>
      <c r="AI66" s="1951"/>
      <c r="AJ66" s="1951"/>
      <c r="AK66" s="1951"/>
      <c r="AL66" s="3799"/>
      <c r="AM66" s="3799"/>
      <c r="AN66" s="3799"/>
      <c r="AO66" s="3799"/>
      <c r="AP66" s="3799"/>
      <c r="AQ66" s="3799"/>
      <c r="AR66" s="3799"/>
    </row>
    <row customHeight="1" ht="17.25">
      <c r="A67" s="2532"/>
      <c r="B67" s="3799"/>
      <c r="C67" s="2537"/>
      <c r="D67" s="2522"/>
      <c r="E67" s="2539"/>
      <c r="F67" s="2476"/>
      <c r="G67" s="2540"/>
      <c r="H67" s="3195"/>
      <c r="I67" s="3195"/>
      <c r="J67" s="3225"/>
      <c r="K67" s="2804"/>
      <c r="L67" s="1009"/>
      <c r="M67" s="1010"/>
      <c r="N67" s="1010" t="s">
        <v>173</v>
      </c>
      <c r="O67" s="1010"/>
      <c r="P67" s="1010"/>
      <c r="Q67" s="1010"/>
      <c r="R67" s="1010"/>
      <c r="S67" s="2538"/>
      <c r="T67" s="2538"/>
      <c r="U67" s="2538"/>
      <c r="V67" s="2538"/>
      <c r="W67" s="1011"/>
      <c r="X67" s="3799"/>
      <c r="Y67" s="1951"/>
      <c r="Z67" s="1951"/>
      <c r="AA67" s="1951"/>
      <c r="AB67" s="1951"/>
      <c r="AC67" s="1951"/>
      <c r="AD67" s="1951"/>
      <c r="AE67" s="1951"/>
      <c r="AF67" s="1951"/>
      <c r="AG67" s="1951"/>
      <c r="AH67" s="1951"/>
      <c r="AI67" s="1951"/>
      <c r="AJ67" s="1951"/>
      <c r="AK67" s="1951"/>
      <c r="AL67" s="3799"/>
      <c r="AM67" s="3799"/>
      <c r="AN67" s="3799"/>
      <c r="AO67" s="3799"/>
      <c r="AP67" s="3799"/>
      <c r="AQ67" s="3799"/>
      <c r="AR67" s="3799"/>
    </row>
    <row s="63055" customFormat="1" customHeight="1" ht="17.25">
      <c r="A68" s="1013"/>
      <c r="C68" s="1012"/>
      <c r="D68" s="2828"/>
      <c r="E68" s="2836"/>
      <c r="F68" s="2839"/>
      <c r="G68" s="3773"/>
      <c r="H68" s="3824"/>
      <c r="I68" s="3825"/>
      <c r="J68" s="3826" t="s">
        <v>186</v>
      </c>
      <c r="K68" s="3827"/>
      <c r="L68" s="3828"/>
      <c r="M68" s="3829"/>
      <c r="N68" s="3830"/>
      <c r="O68" s="3831"/>
      <c r="P68" s="3832"/>
      <c r="Q68" s="3833"/>
      <c r="R68" s="3834"/>
      <c r="S68" s="3835"/>
      <c r="T68" s="3836"/>
      <c r="U68" s="3837"/>
      <c r="V68" s="3838"/>
      <c r="W68" s="3839"/>
      <c r="X68" s="1951"/>
      <c r="Y68" s="1951"/>
      <c r="Z68" s="1951"/>
      <c r="AA68" s="1951"/>
      <c r="AB68" s="1951"/>
      <c r="AC68" s="1951"/>
      <c r="AD68" s="1951"/>
      <c r="AE68" s="1951"/>
      <c r="AF68" s="1951"/>
      <c r="AG68" s="1951"/>
      <c r="AH68" s="1951"/>
      <c r="AI68" s="1951"/>
      <c r="AJ68" s="1951"/>
      <c r="AK68" s="1951"/>
      <c r="AL68" s="1951"/>
      <c r="AM68" s="1951"/>
      <c r="AN68" s="1951"/>
      <c r="AO68" s="1951"/>
      <c r="AP68" s="1951"/>
      <c r="AQ68" s="1951"/>
      <c r="AR68" s="1975">
        <v>0</v>
      </c>
    </row>
    <row s="63055" customFormat="1" customHeight="1" ht="17.25">
      <c r="A69" s="1013"/>
      <c r="C69" s="901"/>
      <c r="D69" s="2827">
        <v>4</v>
      </c>
      <c r="E69" s="2835" t="s">
        <v>238</v>
      </c>
      <c r="F69" s="2837" t="s">
        <v>67</v>
      </c>
      <c r="G69" s="3760" t="str">
        <f>INDEX(VD_NAME_LIST,MATCH("4190064",VD_ID_LIST,0))&amp;"; "&amp;INDEX(VD_NAME_LIST,MATCH("4190066",VD_ID_LIST,0))&amp;"; "&amp;INDEX(VD_NAME_LIST,MATCH("4190068",VD_ID_LIST,0))&amp;"; "&amp;INDEX(VD_NAME_LIST,MATCH("4190070",VD_ID_LIST,0))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H69" s="3761"/>
      <c r="I69" s="3761">
        <v>1</v>
      </c>
      <c r="J69" s="3762" t="s">
        <v>239</v>
      </c>
      <c r="K69" s="3763" t="s">
        <v>67</v>
      </c>
      <c r="L69" s="3764"/>
      <c r="M69" s="3764" t="s">
        <v>118</v>
      </c>
      <c r="N69" s="3765" t="str">
        <f>IF(Z69="","",INDEX(TERRITORY_MR_LIST,MATCH(Z69,TERRITORY_LIST_ID,0)))</f>
        <v>Территория 1</v>
      </c>
      <c r="O69" s="3763" t="s">
        <v>19</v>
      </c>
      <c r="P69" s="3764"/>
      <c r="Q69" s="3764" t="s">
        <v>118</v>
      </c>
      <c r="R69" s="6746" t="s">
        <v>28</v>
      </c>
      <c r="S69" s="3767" t="s">
        <v>19</v>
      </c>
      <c r="T69" s="3764"/>
      <c r="U69" s="3764" t="s">
        <v>118</v>
      </c>
      <c r="V69" s="6746" t="s">
        <v>28</v>
      </c>
      <c r="W69" s="3762"/>
      <c r="X69" s="1959"/>
      <c r="Y69" s="1959"/>
      <c r="Z69" s="1959" t="s">
        <v>99</v>
      </c>
      <c r="AA69" s="1959"/>
      <c r="AB69" s="1959" t="s">
        <v>189</v>
      </c>
      <c r="AC69" s="1959" t="s">
        <v>240</v>
      </c>
      <c r="AD69" s="1959" t="s">
        <v>241</v>
      </c>
      <c r="AE69" s="1959" t="s">
        <v>242</v>
      </c>
      <c r="AF69" s="1959" t="s">
        <v>243</v>
      </c>
      <c r="AG69" s="1959" t="s">
        <v>244</v>
      </c>
      <c r="AH69" s="1959" t="str">
        <f>IF($E$69=0,"",$E$69)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9" s="1959" t="str">
        <f>IF($G$69=0,"",$G$69)</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69" s="1959" t="str">
        <f>IF($J$69=0,"",$J$69)</f>
        <v>Тарифы на горячую воду в открытых системах теплоснабжения (горячего водоснабжения) на территории Артемовского городского округа</v>
      </c>
      <c r="AK69" s="1959" t="str">
        <f>IF($K$69="нет","без дифференциации",IF($N$69=0,"",$N$69))</f>
        <v>Территория 1</v>
      </c>
      <c r="AL69" s="1959" t="str">
        <f>IF($O$69="нет","без дифференциации",IF($R$69=0,"",$R$69))</f>
        <v>без дифференциации</v>
      </c>
      <c r="AM69" s="1959" t="str">
        <f>IF($S$69="нет","без дифференциации",IF($V$69=0,"",$V$69))</f>
        <v>без дифференциации</v>
      </c>
      <c r="AN69" s="2464">
        <f>$I$69</f>
        <v>1</v>
      </c>
      <c r="AO69" s="1959" t="str">
        <f>$I$69&amp;"."&amp;$M$69</f>
        <v>1.1</v>
      </c>
      <c r="AP69" s="1951" t="str">
        <f>$I$69&amp;"."&amp;$M$69&amp;"."&amp;$Q$69</f>
        <v>1.1.1</v>
      </c>
      <c r="AQ69" s="1951" t="str">
        <f>$I$69&amp;"."&amp;$M$69&amp;"."&amp;$Q$69&amp;"."&amp;$U$69</f>
        <v>1.1.1.1</v>
      </c>
      <c r="AR69" s="1975">
        <v>0</v>
      </c>
    </row>
    <row s="63055" customFormat="1" customHeight="1" ht="17.25">
      <c r="A70" s="1013"/>
      <c r="C70" s="1012"/>
      <c r="D70" s="2827"/>
      <c r="E70" s="2835"/>
      <c r="F70" s="2838"/>
      <c r="G70" s="3760"/>
      <c r="H70" s="3761"/>
      <c r="I70" s="3761"/>
      <c r="J70" s="3762"/>
      <c r="K70" s="3768"/>
      <c r="L70" s="3764"/>
      <c r="M70" s="3764"/>
      <c r="N70" s="3765"/>
      <c r="O70" s="3768"/>
      <c r="P70" s="3764"/>
      <c r="Q70" s="3764"/>
      <c r="R70" s="6746" t="s">
        <v>28</v>
      </c>
      <c r="S70" s="3767"/>
      <c r="T70" s="3841"/>
      <c r="U70" s="3842"/>
      <c r="V70" s="3843" t="s">
        <v>171</v>
      </c>
      <c r="W70" s="3844"/>
      <c r="X70" s="1951"/>
      <c r="Y70" s="1951"/>
      <c r="Z70" s="1951"/>
      <c r="AA70" s="1951"/>
      <c r="AB70" s="1951"/>
      <c r="AC70" s="1951"/>
      <c r="AD70" s="1951"/>
      <c r="AE70" s="1951"/>
      <c r="AF70" s="1951"/>
      <c r="AG70" s="1951"/>
      <c r="AH70" s="1951"/>
      <c r="AI70" s="1951"/>
      <c r="AJ70" s="1951"/>
      <c r="AK70" s="1951"/>
      <c r="AL70" s="1951"/>
      <c r="AM70" s="1951"/>
      <c r="AN70" s="1951"/>
      <c r="AO70" s="1951"/>
      <c r="AP70" s="1951"/>
      <c r="AQ70" s="1951"/>
      <c r="AR70" s="1975">
        <v>0</v>
      </c>
    </row>
    <row s="63055" customFormat="1" customHeight="1" ht="17.25">
      <c r="A71" s="1013"/>
      <c r="C71" s="1012"/>
      <c r="D71" s="2828"/>
      <c r="E71" s="2836"/>
      <c r="F71" s="2838"/>
      <c r="G71" s="3773"/>
      <c r="H71" s="3774"/>
      <c r="I71" s="3774"/>
      <c r="J71" s="3775"/>
      <c r="K71" s="3768"/>
      <c r="L71" s="3774"/>
      <c r="M71" s="3774"/>
      <c r="N71" s="3776"/>
      <c r="O71" s="3777"/>
      <c r="P71" s="3845"/>
      <c r="Q71" s="3846"/>
      <c r="R71" s="3847" t="s">
        <v>172</v>
      </c>
      <c r="S71" s="3848"/>
      <c r="T71" s="3849"/>
      <c r="U71" s="3850"/>
      <c r="V71" s="3851"/>
      <c r="W71" s="3852"/>
      <c r="X71" s="1951"/>
      <c r="Y71" s="1951"/>
      <c r="Z71" s="1951"/>
      <c r="AA71" s="1951"/>
      <c r="AB71" s="1951"/>
      <c r="AC71" s="1951"/>
      <c r="AD71" s="1951"/>
      <c r="AE71" s="1951"/>
      <c r="AF71" s="1951"/>
      <c r="AG71" s="1951"/>
      <c r="AH71" s="1951"/>
      <c r="AI71" s="1951"/>
      <c r="AJ71" s="1951"/>
      <c r="AK71" s="1951"/>
      <c r="AL71" s="1951"/>
      <c r="AM71" s="1951"/>
      <c r="AN71" s="1951"/>
      <c r="AO71" s="1951"/>
      <c r="AP71" s="1951"/>
      <c r="AQ71" s="1951"/>
      <c r="AR71" s="1975">
        <v>0</v>
      </c>
    </row>
    <row s="63055" customFormat="1" customHeight="1" ht="17.25">
      <c r="A72" s="1013"/>
      <c r="C72" s="1012"/>
      <c r="D72" s="2828"/>
      <c r="E72" s="2836"/>
      <c r="F72" s="2838"/>
      <c r="G72" s="3773"/>
      <c r="H72" s="3774"/>
      <c r="I72" s="3774"/>
      <c r="J72" s="3775"/>
      <c r="K72" s="3777"/>
      <c r="L72" s="3853"/>
      <c r="M72" s="3854"/>
      <c r="N72" s="3855" t="s">
        <v>173</v>
      </c>
      <c r="O72" s="3856"/>
      <c r="P72" s="3857"/>
      <c r="Q72" s="3858"/>
      <c r="R72" s="3859"/>
      <c r="S72" s="3860"/>
      <c r="T72" s="3861"/>
      <c r="U72" s="3862"/>
      <c r="V72" s="3863"/>
      <c r="W72" s="3864"/>
      <c r="X72" s="1951"/>
      <c r="Y72" s="1951"/>
      <c r="Z72" s="1951"/>
      <c r="AA72" s="1951"/>
      <c r="AB72" s="1951"/>
      <c r="AC72" s="1951"/>
      <c r="AD72" s="1951"/>
      <c r="AE72" s="1951"/>
      <c r="AF72" s="1951"/>
      <c r="AG72" s="1951"/>
      <c r="AH72" s="1951"/>
      <c r="AI72" s="1951"/>
      <c r="AJ72" s="1951"/>
      <c r="AK72" s="1951"/>
      <c r="AL72" s="1951"/>
      <c r="AM72" s="1951"/>
      <c r="AN72" s="1951"/>
      <c r="AO72" s="1951"/>
      <c r="AP72" s="1951"/>
      <c r="AQ72" s="1951"/>
      <c r="AR72" s="1975">
        <v>0</v>
      </c>
    </row>
    <row customHeight="1" ht="17.25">
      <c r="A73" s="2532"/>
      <c r="B73" s="6771"/>
      <c r="C73" s="2534"/>
      <c r="D73" s="2522"/>
      <c r="E73" s="2539"/>
      <c r="F73" s="2476"/>
      <c r="G73" s="2540"/>
      <c r="H73" s="3221" t="s">
        <v>104</v>
      </c>
      <c r="I73" s="3221" t="s">
        <v>103</v>
      </c>
      <c r="J73" s="3193" t="s">
        <v>245</v>
      </c>
      <c r="K73" s="2877" t="s">
        <v>67</v>
      </c>
      <c r="L73" s="2800"/>
      <c r="M73" s="2800" t="s">
        <v>118</v>
      </c>
      <c r="N73" s="3196" t="str">
        <f>IF(Z73="","",INDEX(TERRITORY_MR_LIST,MATCH(Z73,TERRITORY_LIST_ID,0)))</f>
        <v>Территория 2</v>
      </c>
      <c r="O73" s="2877" t="s">
        <v>19</v>
      </c>
      <c r="P73" s="2800"/>
      <c r="Q73" s="2800" t="s">
        <v>118</v>
      </c>
      <c r="R73" s="6729" t="s">
        <v>28</v>
      </c>
      <c r="S73" s="2799" t="s">
        <v>19</v>
      </c>
      <c r="T73" s="2503"/>
      <c r="U73" s="2503" t="s">
        <v>118</v>
      </c>
      <c r="V73" s="6716" t="s">
        <v>28</v>
      </c>
      <c r="W73" s="2493"/>
      <c r="X73" s="6771"/>
      <c r="Y73" s="1959"/>
      <c r="Z73" s="1959" t="s">
        <v>105</v>
      </c>
      <c r="AA73" s="1959"/>
      <c r="AB73" s="1959"/>
      <c r="AC73" s="6772" t="s">
        <v>240</v>
      </c>
      <c r="AD73" s="1959" t="s">
        <v>246</v>
      </c>
      <c r="AE73" s="1959" t="s">
        <v>247</v>
      </c>
      <c r="AF73" s="1959" t="s">
        <v>248</v>
      </c>
      <c r="AG73" s="1959" t="s">
        <v>249</v>
      </c>
      <c r="AH73" s="1959" t="str">
        <f>IF($E$69=0,"",$E$69)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3" s="1959" t="str">
        <f>IF($G$69=0,"",$G$69)</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73" s="1959" t="str">
        <f>IF($J$73=0,"",$J$73)</f>
        <v>Тарифы на горячую воду в открытых системах теплоснабжения (горячего водоснабжения) на территории Владивостокского городского округа</v>
      </c>
      <c r="AK73" s="1959" t="str">
        <f>IF($K$73="нет","без дифференциации",IF($N$73=0,"",$N$73))</f>
        <v>Территория 2</v>
      </c>
      <c r="AL73" s="2536" t="str">
        <f>IF($O$73="нет","без дифференциации",IF($R$73=0,"",$R$73))</f>
        <v>без дифференциации</v>
      </c>
      <c r="AM73" s="2536" t="str">
        <f>IF($S$73="нет","без дифференциации",IF($V$73=0,"",$V$73))</f>
        <v>без дифференциации</v>
      </c>
      <c r="AN73" s="1959" t="str">
        <f>$I$73</f>
        <v>2</v>
      </c>
      <c r="AO73" s="1959" t="str">
        <f>$I$73&amp;"."&amp;$M$73</f>
        <v>2.1</v>
      </c>
      <c r="AP73" s="1959" t="str">
        <f>$I$73&amp;"."&amp;$M$73&amp;"."&amp;$Q$73</f>
        <v>2.1.1</v>
      </c>
      <c r="AQ73" s="1959" t="str">
        <f>$I$73&amp;"."&amp;$M$73&amp;"."&amp;$Q$73&amp;"."&amp;$U$73</f>
        <v>2.1.1.1</v>
      </c>
      <c r="AR73" s="6771"/>
    </row>
    <row customHeight="1" ht="17.25">
      <c r="A74" s="2532"/>
      <c r="B74" s="6771"/>
      <c r="C74" s="2537"/>
      <c r="D74" s="2522"/>
      <c r="E74" s="2539"/>
      <c r="F74" s="2476"/>
      <c r="G74" s="2540"/>
      <c r="H74" s="3221"/>
      <c r="I74" s="3221"/>
      <c r="J74" s="3193"/>
      <c r="K74" s="2878"/>
      <c r="L74" s="2800"/>
      <c r="M74" s="2800"/>
      <c r="N74" s="3196"/>
      <c r="O74" s="2878"/>
      <c r="P74" s="2800"/>
      <c r="Q74" s="2800"/>
      <c r="R74" s="6729" t="s">
        <v>28</v>
      </c>
      <c r="S74" s="2799"/>
      <c r="T74" s="1009"/>
      <c r="U74" s="1010"/>
      <c r="V74" s="1010" t="s">
        <v>171</v>
      </c>
      <c r="W74" s="1011"/>
      <c r="X74" s="6771"/>
      <c r="Y74" s="1951"/>
      <c r="Z74" s="1951"/>
      <c r="AA74" s="1951"/>
      <c r="AB74" s="1951"/>
      <c r="AC74" s="1951"/>
      <c r="AD74" s="1951"/>
      <c r="AE74" s="1951"/>
      <c r="AF74" s="1951"/>
      <c r="AG74" s="1951"/>
      <c r="AH74" s="1951"/>
      <c r="AI74" s="1951"/>
      <c r="AJ74" s="1951"/>
      <c r="AK74" s="1951"/>
      <c r="AL74" s="6771"/>
      <c r="AM74" s="6771"/>
      <c r="AN74" s="6771"/>
      <c r="AO74" s="6771"/>
      <c r="AP74" s="6771"/>
      <c r="AQ74" s="6771"/>
      <c r="AR74" s="6771"/>
    </row>
    <row customHeight="1" ht="17.25">
      <c r="A75" s="2532"/>
      <c r="B75" s="6771"/>
      <c r="C75" s="2537"/>
      <c r="D75" s="2522"/>
      <c r="E75" s="2539"/>
      <c r="F75" s="2476"/>
      <c r="G75" s="2540"/>
      <c r="H75" s="3195"/>
      <c r="I75" s="3195"/>
      <c r="J75" s="3225"/>
      <c r="K75" s="2878"/>
      <c r="L75" s="3195"/>
      <c r="M75" s="3195"/>
      <c r="N75" s="3197"/>
      <c r="O75" s="2804"/>
      <c r="P75" s="1009"/>
      <c r="Q75" s="1010"/>
      <c r="R75" s="1010" t="s">
        <v>172</v>
      </c>
      <c r="S75" s="2538"/>
      <c r="T75" s="2538"/>
      <c r="U75" s="2538"/>
      <c r="V75" s="2538"/>
      <c r="W75" s="1011"/>
      <c r="X75" s="6771"/>
      <c r="Y75" s="1951"/>
      <c r="Z75" s="1951"/>
      <c r="AA75" s="1951"/>
      <c r="AB75" s="1951"/>
      <c r="AC75" s="1951"/>
      <c r="AD75" s="1951"/>
      <c r="AE75" s="1951"/>
      <c r="AF75" s="1951"/>
      <c r="AG75" s="1951"/>
      <c r="AH75" s="1951"/>
      <c r="AI75" s="1951"/>
      <c r="AJ75" s="1951"/>
      <c r="AK75" s="1951"/>
      <c r="AL75" s="6771"/>
      <c r="AM75" s="6771"/>
      <c r="AN75" s="6771"/>
      <c r="AO75" s="6771"/>
      <c r="AP75" s="6771"/>
      <c r="AQ75" s="6771"/>
      <c r="AR75" s="6771"/>
    </row>
    <row customHeight="1" ht="17.25">
      <c r="A76" s="2532"/>
      <c r="B76" s="6771"/>
      <c r="C76" s="2537"/>
      <c r="D76" s="2522"/>
      <c r="E76" s="2539"/>
      <c r="F76" s="2476"/>
      <c r="G76" s="2540"/>
      <c r="H76" s="3195"/>
      <c r="I76" s="3195"/>
      <c r="J76" s="3225"/>
      <c r="K76" s="2804"/>
      <c r="L76" s="1009"/>
      <c r="M76" s="1010"/>
      <c r="N76" s="1010" t="s">
        <v>173</v>
      </c>
      <c r="O76" s="1010"/>
      <c r="P76" s="1010"/>
      <c r="Q76" s="1010"/>
      <c r="R76" s="1010"/>
      <c r="S76" s="2538"/>
      <c r="T76" s="2538"/>
      <c r="U76" s="2538"/>
      <c r="V76" s="2538"/>
      <c r="W76" s="1011"/>
      <c r="X76" s="6771"/>
      <c r="Y76" s="1951"/>
      <c r="Z76" s="1951"/>
      <c r="AA76" s="1951"/>
      <c r="AB76" s="1951"/>
      <c r="AC76" s="1951"/>
      <c r="AD76" s="1951"/>
      <c r="AE76" s="1951"/>
      <c r="AF76" s="1951"/>
      <c r="AG76" s="1951"/>
      <c r="AH76" s="1951"/>
      <c r="AI76" s="1951"/>
      <c r="AJ76" s="1951"/>
      <c r="AK76" s="1951"/>
      <c r="AL76" s="6771"/>
      <c r="AM76" s="6771"/>
      <c r="AN76" s="6771"/>
      <c r="AO76" s="6771"/>
      <c r="AP76" s="6771"/>
      <c r="AQ76" s="6771"/>
      <c r="AR76" s="6771"/>
    </row>
    <row customHeight="1" ht="17.25">
      <c r="A77" s="2532"/>
      <c r="B77" s="6771"/>
      <c r="C77" s="2534"/>
      <c r="D77" s="2522"/>
      <c r="E77" s="2539"/>
      <c r="F77" s="2476"/>
      <c r="G77" s="2540"/>
      <c r="H77" s="3221" t="s">
        <v>104</v>
      </c>
      <c r="I77" s="3221" t="s">
        <v>91</v>
      </c>
      <c r="J77" s="3193" t="s">
        <v>250</v>
      </c>
      <c r="K77" s="2877" t="s">
        <v>67</v>
      </c>
      <c r="L77" s="2800"/>
      <c r="M77" s="2800" t="s">
        <v>118</v>
      </c>
      <c r="N77" s="3196" t="str">
        <f>IF(Z77="","",INDEX(TERRITORY_MR_LIST,MATCH(Z77,TERRITORY_LIST_ID,0)))</f>
        <v>Территория 3</v>
      </c>
      <c r="O77" s="2877" t="s">
        <v>19</v>
      </c>
      <c r="P77" s="2800"/>
      <c r="Q77" s="2800" t="s">
        <v>118</v>
      </c>
      <c r="R77" s="6729" t="s">
        <v>28</v>
      </c>
      <c r="S77" s="2799" t="s">
        <v>19</v>
      </c>
      <c r="T77" s="2503"/>
      <c r="U77" s="2503" t="s">
        <v>118</v>
      </c>
      <c r="V77" s="6716" t="s">
        <v>28</v>
      </c>
      <c r="W77" s="2493"/>
      <c r="X77" s="6771"/>
      <c r="Y77" s="1959"/>
      <c r="Z77" s="1959" t="s">
        <v>108</v>
      </c>
      <c r="AA77" s="1959"/>
      <c r="AB77" s="1959"/>
      <c r="AC77" s="6772" t="s">
        <v>240</v>
      </c>
      <c r="AD77" s="1959" t="s">
        <v>251</v>
      </c>
      <c r="AE77" s="1959" t="s">
        <v>252</v>
      </c>
      <c r="AF77" s="1959" t="s">
        <v>253</v>
      </c>
      <c r="AG77" s="1959" t="s">
        <v>254</v>
      </c>
      <c r="AH77" s="1959" t="str">
        <f>IF($E$69=0,"",$E$69)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7" s="1959" t="str">
        <f>IF($G$69=0,"",$G$69)</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77" s="1959" t="str">
        <f>IF($J$77=0,"",$J$77)</f>
        <v>Тарифы на горячую воду в открытых системах теплоснабжения (горячего водоснабжения) на территории Партизанского городского округа</v>
      </c>
      <c r="AK77" s="1959" t="str">
        <f>IF($K$77="нет","без дифференциации",IF($N$77=0,"",$N$77))</f>
        <v>Территория 3</v>
      </c>
      <c r="AL77" s="2536" t="str">
        <f>IF($O$77="нет","без дифференциации",IF($R$77=0,"",$R$77))</f>
        <v>без дифференциации</v>
      </c>
      <c r="AM77" s="2536" t="str">
        <f>IF($S$77="нет","без дифференциации",IF($V$77=0,"",$V$77))</f>
        <v>без дифференциации</v>
      </c>
      <c r="AN77" s="1959" t="str">
        <f>$I$77</f>
        <v>3</v>
      </c>
      <c r="AO77" s="1959" t="str">
        <f>$I$77&amp;"."&amp;$M$77</f>
        <v>3.1</v>
      </c>
      <c r="AP77" s="1959" t="str">
        <f>$I$77&amp;"."&amp;$M$77&amp;"."&amp;$Q$77</f>
        <v>3.1.1</v>
      </c>
      <c r="AQ77" s="1959" t="str">
        <f>$I$77&amp;"."&amp;$M$77&amp;"."&amp;$Q$77&amp;"."&amp;$U$77</f>
        <v>3.1.1.1</v>
      </c>
      <c r="AR77" s="6771"/>
    </row>
    <row customHeight="1" ht="17.25">
      <c r="A78" s="2532"/>
      <c r="B78" s="6771"/>
      <c r="C78" s="2537"/>
      <c r="D78" s="2522"/>
      <c r="E78" s="2539"/>
      <c r="F78" s="2476"/>
      <c r="G78" s="2540"/>
      <c r="H78" s="3221"/>
      <c r="I78" s="3221"/>
      <c r="J78" s="3193"/>
      <c r="K78" s="2878"/>
      <c r="L78" s="2800"/>
      <c r="M78" s="2800"/>
      <c r="N78" s="3196"/>
      <c r="O78" s="2878"/>
      <c r="P78" s="2800"/>
      <c r="Q78" s="2800"/>
      <c r="R78" s="6729" t="s">
        <v>28</v>
      </c>
      <c r="S78" s="2799"/>
      <c r="T78" s="1009"/>
      <c r="U78" s="1010"/>
      <c r="V78" s="1010" t="s">
        <v>171</v>
      </c>
      <c r="W78" s="1011"/>
      <c r="X78" s="6771"/>
      <c r="Y78" s="1951"/>
      <c r="Z78" s="1951"/>
      <c r="AA78" s="1951"/>
      <c r="AB78" s="1951"/>
      <c r="AC78" s="1951"/>
      <c r="AD78" s="1951"/>
      <c r="AE78" s="1951"/>
      <c r="AF78" s="1951"/>
      <c r="AG78" s="1951"/>
      <c r="AH78" s="1951"/>
      <c r="AI78" s="1951"/>
      <c r="AJ78" s="1951"/>
      <c r="AK78" s="1951"/>
      <c r="AL78" s="6771"/>
      <c r="AM78" s="6771"/>
      <c r="AN78" s="6771"/>
      <c r="AO78" s="6771"/>
      <c r="AP78" s="6771"/>
      <c r="AQ78" s="6771"/>
      <c r="AR78" s="6771"/>
    </row>
    <row customHeight="1" ht="17.25">
      <c r="A79" s="2532"/>
      <c r="B79" s="6771"/>
      <c r="C79" s="2537"/>
      <c r="D79" s="2522"/>
      <c r="E79" s="2539"/>
      <c r="F79" s="2476"/>
      <c r="G79" s="2540"/>
      <c r="H79" s="3195"/>
      <c r="I79" s="3195"/>
      <c r="J79" s="3225"/>
      <c r="K79" s="2878"/>
      <c r="L79" s="3195"/>
      <c r="M79" s="3195"/>
      <c r="N79" s="3197"/>
      <c r="O79" s="2804"/>
      <c r="P79" s="1009"/>
      <c r="Q79" s="1010"/>
      <c r="R79" s="1010" t="s">
        <v>172</v>
      </c>
      <c r="S79" s="2538"/>
      <c r="T79" s="2538"/>
      <c r="U79" s="2538"/>
      <c r="V79" s="2538"/>
      <c r="W79" s="1011"/>
      <c r="X79" s="6771"/>
      <c r="Y79" s="1951"/>
      <c r="Z79" s="1951"/>
      <c r="AA79" s="1951"/>
      <c r="AB79" s="1951"/>
      <c r="AC79" s="1951"/>
      <c r="AD79" s="1951"/>
      <c r="AE79" s="1951"/>
      <c r="AF79" s="1951"/>
      <c r="AG79" s="1951"/>
      <c r="AH79" s="1951"/>
      <c r="AI79" s="1951"/>
      <c r="AJ79" s="1951"/>
      <c r="AK79" s="1951"/>
      <c r="AL79" s="6771"/>
      <c r="AM79" s="6771"/>
      <c r="AN79" s="6771"/>
      <c r="AO79" s="6771"/>
      <c r="AP79" s="6771"/>
      <c r="AQ79" s="6771"/>
      <c r="AR79" s="6771"/>
    </row>
    <row customHeight="1" ht="17.25">
      <c r="A80" s="2532"/>
      <c r="B80" s="6771"/>
      <c r="C80" s="2537"/>
      <c r="D80" s="2522"/>
      <c r="E80" s="2539"/>
      <c r="F80" s="2476"/>
      <c r="G80" s="2540"/>
      <c r="H80" s="3195"/>
      <c r="I80" s="3195"/>
      <c r="J80" s="3225"/>
      <c r="K80" s="2804"/>
      <c r="L80" s="1009"/>
      <c r="M80" s="1010"/>
      <c r="N80" s="1010" t="s">
        <v>173</v>
      </c>
      <c r="O80" s="1010"/>
      <c r="P80" s="1010"/>
      <c r="Q80" s="1010"/>
      <c r="R80" s="1010"/>
      <c r="S80" s="2538"/>
      <c r="T80" s="2538"/>
      <c r="U80" s="2538"/>
      <c r="V80" s="2538"/>
      <c r="W80" s="1011"/>
      <c r="X80" s="6771"/>
      <c r="Y80" s="1951"/>
      <c r="Z80" s="1951"/>
      <c r="AA80" s="1951"/>
      <c r="AB80" s="1951"/>
      <c r="AC80" s="1951"/>
      <c r="AD80" s="1951"/>
      <c r="AE80" s="1951"/>
      <c r="AF80" s="1951"/>
      <c r="AG80" s="1951"/>
      <c r="AH80" s="1951"/>
      <c r="AI80" s="1951"/>
      <c r="AJ80" s="1951"/>
      <c r="AK80" s="1951"/>
      <c r="AL80" s="6771"/>
      <c r="AM80" s="6771"/>
      <c r="AN80" s="6771"/>
      <c r="AO80" s="6771"/>
      <c r="AP80" s="6771"/>
      <c r="AQ80" s="6771"/>
      <c r="AR80" s="6771"/>
    </row>
    <row s="63055" customFormat="1" customHeight="1" ht="17.25">
      <c r="A81" s="1013"/>
      <c r="C81" s="1012"/>
      <c r="D81" s="2828"/>
      <c r="E81" s="2836"/>
      <c r="F81" s="2839"/>
      <c r="G81" s="3773"/>
      <c r="H81" s="3865"/>
      <c r="I81" s="3866"/>
      <c r="J81" s="3867" t="s">
        <v>186</v>
      </c>
      <c r="K81" s="3868"/>
      <c r="L81" s="3869"/>
      <c r="M81" s="3870"/>
      <c r="N81" s="3871"/>
      <c r="O81" s="3872"/>
      <c r="P81" s="3873"/>
      <c r="Q81" s="3874"/>
      <c r="R81" s="3875"/>
      <c r="S81" s="3876"/>
      <c r="T81" s="3877"/>
      <c r="U81" s="3878"/>
      <c r="V81" s="3879"/>
      <c r="W81" s="3880"/>
      <c r="X81" s="1951"/>
      <c r="Y81" s="1951"/>
      <c r="Z81" s="1951"/>
      <c r="AA81" s="1951"/>
      <c r="AB81" s="1951"/>
      <c r="AC81" s="1951"/>
      <c r="AD81" s="1951"/>
      <c r="AE81" s="1951"/>
      <c r="AF81" s="1951"/>
      <c r="AG81" s="1951"/>
      <c r="AH81" s="1951"/>
      <c r="AI81" s="1951"/>
      <c r="AJ81" s="1951"/>
      <c r="AK81" s="1951"/>
      <c r="AL81" s="1951"/>
      <c r="AM81" s="1951"/>
      <c r="AN81" s="1951"/>
      <c r="AO81" s="1951"/>
      <c r="AP81" s="1951"/>
      <c r="AQ81" s="1951"/>
      <c r="AR81" s="1975">
        <v>0</v>
      </c>
    </row>
    <row s="63055" customFormat="1" customHeight="1" ht="17.25">
      <c r="A82" s="1013"/>
      <c r="C82" s="901"/>
      <c r="D82" s="2827">
        <v>5</v>
      </c>
      <c r="E82" s="2835" t="s">
        <v>255</v>
      </c>
      <c r="F82" s="2837" t="s">
        <v>19</v>
      </c>
      <c r="G82" s="2835"/>
      <c r="H82" s="2840"/>
      <c r="I82" s="2842"/>
      <c r="J82" s="2844"/>
      <c r="K82" s="2829"/>
      <c r="L82" s="2829"/>
      <c r="M82" s="2829"/>
      <c r="N82" s="2831"/>
      <c r="O82" s="2829"/>
      <c r="P82" s="2829"/>
      <c r="Q82" s="2829"/>
      <c r="R82" s="2834"/>
      <c r="S82" s="2829"/>
      <c r="T82" s="2112"/>
      <c r="U82" s="2112"/>
      <c r="V82" s="2111"/>
      <c r="W82" s="1988"/>
      <c r="X82" s="1959"/>
      <c r="Y82" s="1959"/>
      <c r="Z82" s="1959"/>
      <c r="AA82" s="1959"/>
      <c r="AB82" s="1959"/>
      <c r="AC82" s="1959" t="s">
        <v>256</v>
      </c>
      <c r="AD82" s="1959" t="s">
        <v>257</v>
      </c>
      <c r="AE82" s="1959" t="s">
        <v>258</v>
      </c>
      <c r="AF82" s="1959" t="s">
        <v>259</v>
      </c>
      <c r="AG82" s="1959" t="s">
        <v>260</v>
      </c>
      <c r="AH82" s="1959" t="str">
        <f>IF($E$82=0,"",$E$82)</f>
        <v>Тарифы на услуги по передаче тепловой энергии</v>
      </c>
      <c r="AI82" s="1959" t="str">
        <f>IF($G$82=0,"",$G$82)</f>
        <v/>
      </c>
      <c r="AJ82" s="1959" t="str">
        <f>IF($J$82=0,"",$J$82)</f>
        <v/>
      </c>
      <c r="AK82" s="1959" t="str">
        <f>IF($K$82="нет","без дифференциации",IF($N$82=0,"",$N$82))</f>
        <v/>
      </c>
      <c r="AL82" s="1959" t="str">
        <f>IF($O$82="нет","без дифференциации",IF($R$82=0,"",$R$82))</f>
        <v/>
      </c>
      <c r="AM82" s="1959" t="str">
        <f>IF($S$82="нет","без дифференциации",IF($V$82=0,"",$V$82))</f>
        <v/>
      </c>
      <c r="AN82" s="2464">
        <f>$I$82</f>
        <v>0</v>
      </c>
      <c r="AO82" s="1959" t="str">
        <f>$I$82&amp;"."&amp;$M$82</f>
        <v>.</v>
      </c>
      <c r="AP82" s="1951" t="str">
        <f>$I$82&amp;"."&amp;$M$82&amp;"."&amp;$Q$82</f>
        <v>..</v>
      </c>
      <c r="AQ82" s="1951" t="str">
        <f>$I$82&amp;"."&amp;$M$82&amp;"."&amp;$Q$82&amp;"."&amp;$U$82</f>
        <v>...</v>
      </c>
      <c r="AR82" s="1975">
        <v>0</v>
      </c>
    </row>
    <row s="63055" customFormat="1" customHeight="1" ht="17.25">
      <c r="A83" s="1013"/>
      <c r="C83" s="1012"/>
      <c r="D83" s="2827"/>
      <c r="E83" s="2835"/>
      <c r="F83" s="2838"/>
      <c r="G83" s="2835"/>
      <c r="H83" s="2841"/>
      <c r="I83" s="2843"/>
      <c r="J83" s="2845"/>
      <c r="K83" s="2830"/>
      <c r="L83" s="2830"/>
      <c r="M83" s="2830"/>
      <c r="N83" s="2832"/>
      <c r="O83" s="2830"/>
      <c r="P83" s="2830"/>
      <c r="Q83" s="2830"/>
      <c r="R83" s="2833"/>
      <c r="S83" s="2830"/>
      <c r="T83" s="1989"/>
      <c r="U83" s="1989"/>
      <c r="V83" s="1989"/>
      <c r="W83" s="1990"/>
      <c r="X83" s="1951"/>
      <c r="Y83" s="1951"/>
      <c r="Z83" s="1951"/>
      <c r="AA83" s="1951"/>
      <c r="AB83" s="1951"/>
      <c r="AC83" s="1951"/>
      <c r="AD83" s="1951"/>
      <c r="AE83" s="1951"/>
      <c r="AF83" s="1951"/>
      <c r="AG83" s="1951"/>
      <c r="AH83" s="1951"/>
      <c r="AI83" s="1951"/>
      <c r="AJ83" s="1951"/>
      <c r="AK83" s="1951"/>
      <c r="AL83" s="1951"/>
      <c r="AM83" s="1951"/>
      <c r="AN83" s="1951"/>
      <c r="AO83" s="1951"/>
      <c r="AP83" s="1951"/>
      <c r="AQ83" s="1951"/>
      <c r="AR83" s="1975">
        <v>0</v>
      </c>
    </row>
    <row s="63055" customFormat="1" customHeight="1" ht="17.25">
      <c r="A84" s="1013"/>
      <c r="C84" s="1012"/>
      <c r="D84" s="2828"/>
      <c r="E84" s="2836"/>
      <c r="F84" s="2838"/>
      <c r="G84" s="2836"/>
      <c r="H84" s="2841"/>
      <c r="I84" s="2843"/>
      <c r="J84" s="2846"/>
      <c r="K84" s="2830"/>
      <c r="L84" s="2830"/>
      <c r="M84" s="2830"/>
      <c r="N84" s="2833"/>
      <c r="O84" s="2830"/>
      <c r="P84" s="2110"/>
      <c r="Q84" s="1989"/>
      <c r="R84" s="1989"/>
      <c r="S84" s="1021"/>
      <c r="T84" s="1021"/>
      <c r="U84" s="1021"/>
      <c r="V84" s="1021"/>
      <c r="W84" s="1990"/>
      <c r="X84" s="1951"/>
      <c r="Y84" s="1951"/>
      <c r="Z84" s="1951"/>
      <c r="AA84" s="1951"/>
      <c r="AB84" s="1951"/>
      <c r="AC84" s="1951"/>
      <c r="AD84" s="1951"/>
      <c r="AE84" s="1951"/>
      <c r="AF84" s="1951"/>
      <c r="AG84" s="1951"/>
      <c r="AH84" s="1951"/>
      <c r="AI84" s="1951"/>
      <c r="AJ84" s="1951"/>
      <c r="AK84" s="1951"/>
      <c r="AL84" s="1951"/>
      <c r="AM84" s="1951"/>
      <c r="AN84" s="1951"/>
      <c r="AO84" s="1951"/>
      <c r="AP84" s="1951"/>
      <c r="AQ84" s="1951"/>
      <c r="AR84" s="1975">
        <v>0</v>
      </c>
    </row>
    <row s="63055" customFormat="1" customHeight="1" ht="17.25">
      <c r="A85" s="1013"/>
      <c r="C85" s="1012"/>
      <c r="D85" s="2828"/>
      <c r="E85" s="2836"/>
      <c r="F85" s="2838"/>
      <c r="G85" s="2836"/>
      <c r="H85" s="2841"/>
      <c r="I85" s="2843"/>
      <c r="J85" s="2846"/>
      <c r="K85" s="2830"/>
      <c r="L85" s="1989"/>
      <c r="M85" s="1989"/>
      <c r="N85" s="1989"/>
      <c r="O85" s="1989"/>
      <c r="P85" s="1989"/>
      <c r="Q85" s="1989"/>
      <c r="R85" s="1989"/>
      <c r="S85" s="1021"/>
      <c r="T85" s="1021"/>
      <c r="U85" s="1021"/>
      <c r="V85" s="1021"/>
      <c r="W85" s="1990"/>
      <c r="X85" s="1951"/>
      <c r="Y85" s="1951"/>
      <c r="Z85" s="1951"/>
      <c r="AA85" s="1951"/>
      <c r="AB85" s="1951"/>
      <c r="AC85" s="1951"/>
      <c r="AD85" s="1951"/>
      <c r="AE85" s="1951"/>
      <c r="AF85" s="1951"/>
      <c r="AG85" s="1951"/>
      <c r="AH85" s="1951"/>
      <c r="AI85" s="1951"/>
      <c r="AJ85" s="1951"/>
      <c r="AK85" s="1951"/>
      <c r="AL85" s="1951"/>
      <c r="AM85" s="1951"/>
      <c r="AN85" s="1951"/>
      <c r="AO85" s="1951"/>
      <c r="AP85" s="1951"/>
      <c r="AQ85" s="1951"/>
      <c r="AR85" s="1975">
        <v>0</v>
      </c>
    </row>
    <row s="63055" customFormat="1" customHeight="1" ht="17.25">
      <c r="A86" s="1013"/>
      <c r="C86" s="1012"/>
      <c r="D86" s="2828"/>
      <c r="E86" s="2836"/>
      <c r="F86" s="2839"/>
      <c r="G86" s="2836"/>
      <c r="H86" s="1991"/>
      <c r="I86" s="1992"/>
      <c r="J86" s="1992"/>
      <c r="K86" s="1992"/>
      <c r="L86" s="1992"/>
      <c r="M86" s="1992"/>
      <c r="N86" s="1992"/>
      <c r="O86" s="1992"/>
      <c r="P86" s="1992"/>
      <c r="Q86" s="1992"/>
      <c r="R86" s="1992"/>
      <c r="S86" s="1993"/>
      <c r="T86" s="1993"/>
      <c r="U86" s="1993"/>
      <c r="V86" s="1993"/>
      <c r="W86" s="1994"/>
      <c r="X86" s="1951"/>
      <c r="Y86" s="1951"/>
      <c r="Z86" s="1951"/>
      <c r="AA86" s="1951"/>
      <c r="AB86" s="1951"/>
      <c r="AC86" s="1951"/>
      <c r="AD86" s="1951"/>
      <c r="AE86" s="1951"/>
      <c r="AF86" s="1951"/>
      <c r="AG86" s="1951"/>
      <c r="AH86" s="1951"/>
      <c r="AI86" s="1951"/>
      <c r="AJ86" s="1951"/>
      <c r="AK86" s="1951"/>
      <c r="AL86" s="1951"/>
      <c r="AM86" s="1951"/>
      <c r="AN86" s="1951"/>
      <c r="AO86" s="1951"/>
      <c r="AP86" s="1951"/>
      <c r="AQ86" s="1951"/>
      <c r="AR86" s="1975">
        <v>0</v>
      </c>
    </row>
    <row s="63055" customFormat="1" customHeight="1" ht="17.25">
      <c r="A87" s="1013"/>
      <c r="C87" s="901"/>
      <c r="D87" s="2827">
        <v>6</v>
      </c>
      <c r="E87" s="2835" t="s">
        <v>261</v>
      </c>
      <c r="F87" s="2837" t="s">
        <v>19</v>
      </c>
      <c r="G87" s="2835"/>
      <c r="H87" s="2840"/>
      <c r="I87" s="2842"/>
      <c r="J87" s="2844"/>
      <c r="K87" s="2829"/>
      <c r="L87" s="2829"/>
      <c r="M87" s="2829"/>
      <c r="N87" s="2831"/>
      <c r="O87" s="2829"/>
      <c r="P87" s="2829"/>
      <c r="Q87" s="2829"/>
      <c r="R87" s="2834"/>
      <c r="S87" s="2829"/>
      <c r="T87" s="2112"/>
      <c r="U87" s="2112"/>
      <c r="V87" s="2111"/>
      <c r="W87" s="1988"/>
      <c r="X87" s="1959"/>
      <c r="Y87" s="1959"/>
      <c r="Z87" s="1959"/>
      <c r="AA87" s="1959"/>
      <c r="AB87" s="1959"/>
      <c r="AC87" s="1959" t="s">
        <v>262</v>
      </c>
      <c r="AD87" s="1959" t="s">
        <v>263</v>
      </c>
      <c r="AE87" s="1959" t="s">
        <v>264</v>
      </c>
      <c r="AF87" s="1959" t="s">
        <v>265</v>
      </c>
      <c r="AG87" s="1959" t="s">
        <v>266</v>
      </c>
      <c r="AH87" s="1959" t="str">
        <f>IF($E$87=0,"",$E$87)</f>
        <v>Тарифы на услуги по передаче теплоносителя</v>
      </c>
      <c r="AI87" s="1959" t="str">
        <f>IF($G$87=0,"",$G$87)</f>
        <v/>
      </c>
      <c r="AJ87" s="1959" t="str">
        <f>IF($J$87=0,"",$J$87)</f>
        <v/>
      </c>
      <c r="AK87" s="1959" t="str">
        <f>IF($K$87="нет","без дифференциации",IF($N$87=0,"",$N$87))</f>
        <v/>
      </c>
      <c r="AL87" s="1959" t="str">
        <f>IF($O$87="нет","без дифференциации",IF($R$87=0,"",$R$87))</f>
        <v/>
      </c>
      <c r="AM87" s="1959" t="str">
        <f>IF($S$87="нет","без дифференциации",IF($V$87=0,"",$V$87))</f>
        <v/>
      </c>
      <c r="AN87" s="2464">
        <f>$I$87</f>
        <v>0</v>
      </c>
      <c r="AO87" s="1959" t="str">
        <f>$I$87&amp;"."&amp;$M$87</f>
        <v>.</v>
      </c>
      <c r="AP87" s="1951" t="str">
        <f>$I$87&amp;"."&amp;$M$87&amp;"."&amp;$Q$87</f>
        <v>..</v>
      </c>
      <c r="AQ87" s="1951" t="str">
        <f>$I$87&amp;"."&amp;$M$87&amp;"."&amp;$Q$87&amp;"."&amp;$U$87</f>
        <v>...</v>
      </c>
      <c r="AR87" s="1975">
        <v>0</v>
      </c>
    </row>
    <row s="63055" customFormat="1" customHeight="1" ht="17.25">
      <c r="A88" s="1013"/>
      <c r="C88" s="1012"/>
      <c r="D88" s="2827"/>
      <c r="E88" s="2835"/>
      <c r="F88" s="2838"/>
      <c r="G88" s="2835"/>
      <c r="H88" s="2841"/>
      <c r="I88" s="2843"/>
      <c r="J88" s="2845"/>
      <c r="K88" s="2830"/>
      <c r="L88" s="2830"/>
      <c r="M88" s="2830"/>
      <c r="N88" s="2832"/>
      <c r="O88" s="2830"/>
      <c r="P88" s="2830"/>
      <c r="Q88" s="2830"/>
      <c r="R88" s="2833"/>
      <c r="S88" s="2830"/>
      <c r="T88" s="1989"/>
      <c r="U88" s="1989"/>
      <c r="V88" s="1989"/>
      <c r="W88" s="1990"/>
      <c r="X88" s="1951"/>
      <c r="Y88" s="1951"/>
      <c r="Z88" s="1951"/>
      <c r="AA88" s="1951"/>
      <c r="AB88" s="1951"/>
      <c r="AC88" s="1951"/>
      <c r="AD88" s="1951"/>
      <c r="AE88" s="1951"/>
      <c r="AF88" s="1951"/>
      <c r="AG88" s="1951"/>
      <c r="AH88" s="1951"/>
      <c r="AI88" s="1951"/>
      <c r="AJ88" s="1951"/>
      <c r="AK88" s="1951"/>
      <c r="AL88" s="1951"/>
      <c r="AM88" s="1951"/>
      <c r="AN88" s="1951"/>
      <c r="AO88" s="1951"/>
      <c r="AP88" s="1951"/>
      <c r="AQ88" s="1951"/>
      <c r="AR88" s="1975">
        <v>0</v>
      </c>
    </row>
    <row s="63055" customFormat="1" customHeight="1" ht="17.25">
      <c r="A89" s="1013"/>
      <c r="C89" s="1012"/>
      <c r="D89" s="2828"/>
      <c r="E89" s="2836"/>
      <c r="F89" s="2838"/>
      <c r="G89" s="2836"/>
      <c r="H89" s="2841"/>
      <c r="I89" s="2843"/>
      <c r="J89" s="2846"/>
      <c r="K89" s="2830"/>
      <c r="L89" s="2830"/>
      <c r="M89" s="2830"/>
      <c r="N89" s="2833"/>
      <c r="O89" s="2830"/>
      <c r="P89" s="2110"/>
      <c r="Q89" s="1989"/>
      <c r="R89" s="1989"/>
      <c r="S89" s="1021"/>
      <c r="T89" s="1021"/>
      <c r="U89" s="1021"/>
      <c r="V89" s="1021"/>
      <c r="W89" s="1990"/>
      <c r="X89" s="1951"/>
      <c r="Y89" s="1951"/>
      <c r="Z89" s="1951"/>
      <c r="AA89" s="1951"/>
      <c r="AB89" s="1951"/>
      <c r="AC89" s="1951"/>
      <c r="AD89" s="1951"/>
      <c r="AE89" s="1951"/>
      <c r="AF89" s="1951"/>
      <c r="AG89" s="1951"/>
      <c r="AH89" s="1951"/>
      <c r="AI89" s="1951"/>
      <c r="AJ89" s="1951"/>
      <c r="AK89" s="1951"/>
      <c r="AL89" s="1951"/>
      <c r="AM89" s="1951"/>
      <c r="AN89" s="1951"/>
      <c r="AO89" s="1951"/>
      <c r="AP89" s="1951"/>
      <c r="AQ89" s="1951"/>
      <c r="AR89" s="1975">
        <v>0</v>
      </c>
    </row>
    <row s="63055" customFormat="1" customHeight="1" ht="17.25">
      <c r="A90" s="1013"/>
      <c r="C90" s="901"/>
      <c r="D90" s="2828"/>
      <c r="E90" s="2836"/>
      <c r="F90" s="2838"/>
      <c r="G90" s="2836"/>
      <c r="H90" s="2841"/>
      <c r="I90" s="2843"/>
      <c r="J90" s="2846"/>
      <c r="K90" s="2830"/>
      <c r="L90" s="1989"/>
      <c r="M90" s="1989"/>
      <c r="N90" s="1989"/>
      <c r="O90" s="1989"/>
      <c r="P90" s="1989"/>
      <c r="Q90" s="1989"/>
      <c r="R90" s="1989"/>
      <c r="S90" s="1021"/>
      <c r="T90" s="1021"/>
      <c r="U90" s="1021"/>
      <c r="V90" s="1021"/>
      <c r="W90" s="1990"/>
      <c r="Y90" s="1959"/>
      <c r="Z90" s="1959"/>
      <c r="AA90" s="1959"/>
      <c r="AB90" s="1959"/>
      <c r="AC90" s="1959"/>
      <c r="AD90" s="1959"/>
      <c r="AE90" s="1959"/>
      <c r="AF90" s="1959"/>
      <c r="AG90" s="1959"/>
      <c r="AH90" s="1959"/>
      <c r="AI90" s="1959"/>
      <c r="AJ90" s="1959"/>
      <c r="AK90" s="1959"/>
      <c r="AL90" s="1959"/>
      <c r="AM90" s="1959"/>
      <c r="AN90" s="1959"/>
      <c r="AO90" s="1959"/>
      <c r="AP90" s="1959"/>
      <c r="AQ90" s="1959"/>
      <c r="AR90" s="2018">
        <v>0</v>
      </c>
    </row>
    <row s="63055" customFormat="1" customHeight="1" ht="17.25">
      <c r="A91" s="1013"/>
      <c r="C91" s="1012"/>
      <c r="D91" s="2828"/>
      <c r="E91" s="2836"/>
      <c r="F91" s="2839"/>
      <c r="G91" s="2836"/>
      <c r="H91" s="1991"/>
      <c r="I91" s="1992"/>
      <c r="J91" s="1992"/>
      <c r="K91" s="1992"/>
      <c r="L91" s="1992"/>
      <c r="M91" s="1992"/>
      <c r="N91" s="1992"/>
      <c r="O91" s="1992"/>
      <c r="P91" s="1992"/>
      <c r="Q91" s="1992"/>
      <c r="R91" s="1992"/>
      <c r="S91" s="1993"/>
      <c r="T91" s="1993"/>
      <c r="U91" s="1993"/>
      <c r="V91" s="1993"/>
      <c r="W91" s="1994"/>
      <c r="X91" s="1951"/>
      <c r="Y91" s="1951"/>
      <c r="Z91" s="1951"/>
      <c r="AA91" s="1951"/>
      <c r="AB91" s="1951"/>
      <c r="AC91" s="1951"/>
      <c r="AD91" s="1951"/>
      <c r="AE91" s="1951"/>
      <c r="AF91" s="1951"/>
      <c r="AG91" s="1951"/>
      <c r="AH91" s="1951"/>
      <c r="AI91" s="1951"/>
      <c r="AJ91" s="1951"/>
      <c r="AK91" s="1951"/>
      <c r="AL91" s="1951"/>
      <c r="AM91" s="1951"/>
      <c r="AN91" s="1951"/>
      <c r="AO91" s="1951"/>
      <c r="AP91" s="1951"/>
      <c r="AQ91" s="1951"/>
      <c r="AR91" s="1975">
        <v>0</v>
      </c>
    </row>
    <row s="63055" customFormat="1" customHeight="1" ht="17.25">
      <c r="A92" s="1013"/>
      <c r="C92" s="901"/>
      <c r="D92" s="2858">
        <v>7</v>
      </c>
      <c r="E92" s="2861" t="s">
        <v>267</v>
      </c>
      <c r="F92" s="2837" t="s">
        <v>19</v>
      </c>
      <c r="G92" s="2861"/>
      <c r="H92" s="2840"/>
      <c r="I92" s="2842"/>
      <c r="J92" s="2844"/>
      <c r="K92" s="2829"/>
      <c r="L92" s="2829"/>
      <c r="M92" s="2829"/>
      <c r="N92" s="2831"/>
      <c r="O92" s="2829"/>
      <c r="P92" s="2829"/>
      <c r="Q92" s="2829"/>
      <c r="R92" s="2834"/>
      <c r="S92" s="2829"/>
      <c r="T92" s="2112"/>
      <c r="U92" s="2112"/>
      <c r="V92" s="2111"/>
      <c r="W92" s="1988"/>
      <c r="X92" s="1959"/>
      <c r="Y92" s="1959"/>
      <c r="Z92" s="1959"/>
      <c r="AA92" s="1959"/>
      <c r="AB92" s="1959"/>
      <c r="AC92" s="1959" t="s">
        <v>268</v>
      </c>
      <c r="AD92" s="1959" t="s">
        <v>269</v>
      </c>
      <c r="AE92" s="1959" t="s">
        <v>270</v>
      </c>
      <c r="AF92" s="1959" t="s">
        <v>271</v>
      </c>
      <c r="AG92" s="1959" t="s">
        <v>272</v>
      </c>
      <c r="AH92" s="1959" t="str">
        <f>IF($E$92=0,"",$E$92)</f>
        <v>Плата за услуги по поддержанию резервной тепловой мощности при отсутствии потребления тепловой энергии</v>
      </c>
      <c r="AI92" s="1959" t="str">
        <f>IF($G$92=0,"",$G$92)</f>
        <v/>
      </c>
      <c r="AJ92" s="1959" t="str">
        <f>IF($J$92=0,"",$J$92)</f>
        <v/>
      </c>
      <c r="AK92" s="1959" t="str">
        <f>IF($K$92="нет","без дифференциации",IF($N$92=0,"",$N$92))</f>
        <v/>
      </c>
      <c r="AL92" s="1959" t="str">
        <f>IF($O$92="нет","без дифференциации",IF($R$92=0,"",$R$92))</f>
        <v/>
      </c>
      <c r="AM92" s="1959" t="str">
        <f>IF($S$92="нет","без дифференциации",IF($V$92=0,"",$V$92))</f>
        <v/>
      </c>
      <c r="AN92" s="2464">
        <f>$I$92</f>
        <v>0</v>
      </c>
      <c r="AO92" s="1959" t="str">
        <f>$I$92&amp;"."&amp;$M$92</f>
        <v>.</v>
      </c>
      <c r="AP92" s="1951" t="str">
        <f>$I$92&amp;"."&amp;$M$92&amp;"."&amp;$Q$92</f>
        <v>..</v>
      </c>
      <c r="AQ92" s="1951" t="str">
        <f>$I$92&amp;"."&amp;$M$92&amp;"."&amp;$Q$92&amp;"."&amp;$U$92</f>
        <v>...</v>
      </c>
      <c r="AR92" s="2000">
        <v>0</v>
      </c>
    </row>
    <row s="63055" customFormat="1" customHeight="1" ht="17.25">
      <c r="A93" s="1013"/>
      <c r="C93" s="1012"/>
      <c r="D93" s="2859"/>
      <c r="E93" s="2862"/>
      <c r="F93" s="2838"/>
      <c r="G93" s="2862"/>
      <c r="H93" s="2841"/>
      <c r="I93" s="2843"/>
      <c r="J93" s="2845"/>
      <c r="K93" s="2830"/>
      <c r="L93" s="2830"/>
      <c r="M93" s="2830"/>
      <c r="N93" s="2832"/>
      <c r="O93" s="2830"/>
      <c r="P93" s="2830"/>
      <c r="Q93" s="2830"/>
      <c r="R93" s="2833"/>
      <c r="S93" s="2830"/>
      <c r="T93" s="1989"/>
      <c r="U93" s="1989"/>
      <c r="V93" s="1989"/>
      <c r="W93" s="1990"/>
      <c r="X93" s="1951"/>
      <c r="Y93" s="1951"/>
      <c r="Z93" s="1951"/>
      <c r="AA93" s="1951"/>
      <c r="AB93" s="1951"/>
      <c r="AC93" s="1951"/>
      <c r="AD93" s="1951"/>
      <c r="AE93" s="1951"/>
      <c r="AF93" s="1951"/>
      <c r="AG93" s="1951"/>
      <c r="AH93" s="1951"/>
      <c r="AI93" s="1951"/>
      <c r="AJ93" s="1951"/>
      <c r="AK93" s="1951"/>
      <c r="AL93" s="1951"/>
      <c r="AM93" s="1951"/>
      <c r="AN93" s="1951"/>
      <c r="AO93" s="1951"/>
      <c r="AP93" s="1951"/>
      <c r="AQ93" s="1951"/>
      <c r="AR93" s="2000">
        <v>0</v>
      </c>
    </row>
    <row s="63055" customFormat="1" customHeight="1" ht="17.25">
      <c r="A94" s="1013"/>
      <c r="C94" s="1012"/>
      <c r="D94" s="2859"/>
      <c r="E94" s="2862"/>
      <c r="F94" s="2838"/>
      <c r="G94" s="2862"/>
      <c r="H94" s="2841"/>
      <c r="I94" s="2843"/>
      <c r="J94" s="2846"/>
      <c r="K94" s="2830"/>
      <c r="L94" s="2830"/>
      <c r="M94" s="2830"/>
      <c r="N94" s="2833"/>
      <c r="O94" s="2830"/>
      <c r="P94" s="2110"/>
      <c r="Q94" s="1989"/>
      <c r="R94" s="1989"/>
      <c r="S94" s="1021"/>
      <c r="T94" s="1021"/>
      <c r="U94" s="1021"/>
      <c r="V94" s="1021"/>
      <c r="W94" s="1990"/>
      <c r="X94" s="1951"/>
      <c r="Y94" s="1951"/>
      <c r="Z94" s="1951"/>
      <c r="AA94" s="1951"/>
      <c r="AB94" s="1951"/>
      <c r="AC94" s="1951"/>
      <c r="AD94" s="1951"/>
      <c r="AE94" s="1951"/>
      <c r="AF94" s="1951"/>
      <c r="AG94" s="1951"/>
      <c r="AH94" s="1951"/>
      <c r="AI94" s="1951"/>
      <c r="AJ94" s="1951"/>
      <c r="AK94" s="1951"/>
      <c r="AL94" s="1951"/>
      <c r="AM94" s="1951"/>
      <c r="AN94" s="1951"/>
      <c r="AO94" s="1951"/>
      <c r="AP94" s="1951"/>
      <c r="AQ94" s="1951"/>
      <c r="AR94" s="2000">
        <v>0</v>
      </c>
    </row>
    <row s="63055" customFormat="1" customHeight="1" ht="17.25">
      <c r="A95" s="1013"/>
      <c r="C95" s="901"/>
      <c r="D95" s="2859"/>
      <c r="E95" s="2862"/>
      <c r="F95" s="2838"/>
      <c r="G95" s="2862"/>
      <c r="H95" s="2841"/>
      <c r="I95" s="2843"/>
      <c r="J95" s="2846"/>
      <c r="K95" s="2830"/>
      <c r="L95" s="1989"/>
      <c r="M95" s="1989"/>
      <c r="N95" s="1989"/>
      <c r="O95" s="1989"/>
      <c r="P95" s="1989"/>
      <c r="Q95" s="1989"/>
      <c r="R95" s="1989"/>
      <c r="S95" s="1021"/>
      <c r="T95" s="1021"/>
      <c r="U95" s="1021"/>
      <c r="V95" s="1021"/>
      <c r="W95" s="1990"/>
      <c r="Y95" s="1959"/>
      <c r="Z95" s="1959"/>
      <c r="AA95" s="1959"/>
      <c r="AB95" s="1959"/>
      <c r="AC95" s="1959"/>
      <c r="AD95" s="1959"/>
      <c r="AE95" s="1959"/>
      <c r="AF95" s="1959"/>
      <c r="AG95" s="1959"/>
      <c r="AH95" s="1959"/>
      <c r="AI95" s="1959"/>
      <c r="AJ95" s="1959"/>
      <c r="AK95" s="1959"/>
      <c r="AL95" s="1959"/>
      <c r="AM95" s="1959"/>
      <c r="AN95" s="1959"/>
      <c r="AO95" s="1959"/>
      <c r="AP95" s="1959"/>
      <c r="AQ95" s="1959"/>
      <c r="AR95" s="2018">
        <v>0</v>
      </c>
    </row>
    <row s="63055" customFormat="1" customHeight="1" ht="17.25">
      <c r="A96" s="1013"/>
      <c r="C96" s="1012"/>
      <c r="D96" s="2860"/>
      <c r="E96" s="2863"/>
      <c r="F96" s="2839"/>
      <c r="G96" s="2863"/>
      <c r="H96" s="1991"/>
      <c r="I96" s="1992"/>
      <c r="J96" s="1992"/>
      <c r="K96" s="1992"/>
      <c r="L96" s="1992"/>
      <c r="M96" s="1992"/>
      <c r="N96" s="1992"/>
      <c r="O96" s="1992"/>
      <c r="P96" s="1992"/>
      <c r="Q96" s="1992"/>
      <c r="R96" s="1992"/>
      <c r="S96" s="1993"/>
      <c r="T96" s="1993"/>
      <c r="U96" s="1993"/>
      <c r="V96" s="1993"/>
      <c r="W96" s="1994"/>
      <c r="X96" s="1951"/>
      <c r="Y96" s="1951"/>
      <c r="Z96" s="1951"/>
      <c r="AA96" s="1951"/>
      <c r="AB96" s="1951"/>
      <c r="AC96" s="1951"/>
      <c r="AD96" s="1951"/>
      <c r="AE96" s="1951"/>
      <c r="AF96" s="1951"/>
      <c r="AG96" s="1951"/>
      <c r="AH96" s="1951"/>
      <c r="AI96" s="1951"/>
      <c r="AJ96" s="1951"/>
      <c r="AK96" s="1951"/>
      <c r="AL96" s="1951"/>
      <c r="AM96" s="1951"/>
      <c r="AN96" s="1951"/>
      <c r="AO96" s="1951"/>
      <c r="AP96" s="1951"/>
      <c r="AQ96" s="1951"/>
      <c r="AR96" s="2000">
        <v>0</v>
      </c>
    </row>
    <row s="63055" customFormat="1" customHeight="1" ht="17.25">
      <c r="A97" s="1013"/>
      <c r="C97" s="901"/>
      <c r="D97" s="2827">
        <v>8</v>
      </c>
      <c r="E97" s="2835" t="s">
        <v>273</v>
      </c>
      <c r="F97" s="2837" t="s">
        <v>19</v>
      </c>
      <c r="G97" s="2835"/>
      <c r="H97" s="2840"/>
      <c r="I97" s="2842"/>
      <c r="J97" s="2844"/>
      <c r="K97" s="2829"/>
      <c r="L97" s="2829"/>
      <c r="M97" s="2829"/>
      <c r="N97" s="2831"/>
      <c r="O97" s="2829"/>
      <c r="P97" s="2829"/>
      <c r="Q97" s="2829"/>
      <c r="R97" s="2834"/>
      <c r="S97" s="2829"/>
      <c r="T97" s="2162"/>
      <c r="U97" s="2162"/>
      <c r="V97" s="2164"/>
      <c r="W97" s="1988"/>
      <c r="X97" s="1959"/>
      <c r="Y97" s="1959"/>
      <c r="Z97" s="1959"/>
      <c r="AA97" s="1959"/>
      <c r="AB97" s="1959"/>
      <c r="AC97" s="1959" t="s">
        <v>274</v>
      </c>
      <c r="AD97" s="1959" t="s">
        <v>275</v>
      </c>
      <c r="AE97" s="1959" t="s">
        <v>276</v>
      </c>
      <c r="AF97" s="1959" t="s">
        <v>277</v>
      </c>
      <c r="AG97" s="1959" t="s">
        <v>278</v>
      </c>
      <c r="AH97" s="1959" t="str">
        <f>IF($E$97=0,"",$E$97)</f>
        <v>Плата за подключение (технологическое присоединение) к системе теплоснабжения</v>
      </c>
      <c r="AI97" s="1959" t="str">
        <f>IF($G$97=0,"",$G$97)</f>
        <v/>
      </c>
      <c r="AJ97" s="1959" t="str">
        <f>IF($J$97=0,"",$J$97)</f>
        <v/>
      </c>
      <c r="AK97" s="1959" t="str">
        <f>IF($K$97="нет","без дифференциации",IF($N$97=0,"",$N$97))</f>
        <v/>
      </c>
      <c r="AL97" s="1959" t="str">
        <f>IF($O$97="нет","без дифференциации",IF($R$97=0,"",$R$97))</f>
        <v/>
      </c>
      <c r="AM97" s="1959" t="str">
        <f>IF($S$97="нет","без дифференциации",IF($V$97=0,"",$V$97))</f>
        <v/>
      </c>
      <c r="AN97" s="2464">
        <f>$I$97</f>
        <v>0</v>
      </c>
      <c r="AO97" s="1959" t="str">
        <f>$I$97&amp;"."&amp;$M$97</f>
        <v>.</v>
      </c>
      <c r="AP97" s="1951" t="str">
        <f>$I$97&amp;"."&amp;$M$97&amp;"."&amp;$Q$97</f>
        <v>..</v>
      </c>
      <c r="AQ97" s="1951" t="str">
        <f>$I$97&amp;"."&amp;$M$97&amp;"."&amp;$Q$97&amp;"."&amp;$U$97</f>
        <v>...</v>
      </c>
      <c r="AR97" s="2000">
        <v>0</v>
      </c>
    </row>
    <row s="63055" customFormat="1" customHeight="1" ht="17.25">
      <c r="A98" s="1013"/>
      <c r="C98" s="1012"/>
      <c r="D98" s="2827"/>
      <c r="E98" s="2835"/>
      <c r="F98" s="2838"/>
      <c r="G98" s="2835"/>
      <c r="H98" s="2841"/>
      <c r="I98" s="2843"/>
      <c r="J98" s="2845"/>
      <c r="K98" s="2830"/>
      <c r="L98" s="2830"/>
      <c r="M98" s="2830"/>
      <c r="N98" s="2832"/>
      <c r="O98" s="2830"/>
      <c r="P98" s="2830"/>
      <c r="Q98" s="2830"/>
      <c r="R98" s="2833"/>
      <c r="S98" s="2830"/>
      <c r="T98" s="1989"/>
      <c r="U98" s="1989"/>
      <c r="V98" s="1989"/>
      <c r="W98" s="1990"/>
      <c r="X98" s="1951"/>
      <c r="Y98" s="1951"/>
      <c r="Z98" s="1951"/>
      <c r="AA98" s="1951"/>
      <c r="AB98" s="1951"/>
      <c r="AC98" s="1951"/>
      <c r="AD98" s="1951"/>
      <c r="AE98" s="1951"/>
      <c r="AF98" s="1951"/>
      <c r="AG98" s="1951"/>
      <c r="AH98" s="1951"/>
      <c r="AI98" s="1951"/>
      <c r="AJ98" s="1951"/>
      <c r="AK98" s="1951"/>
      <c r="AL98" s="1951"/>
      <c r="AM98" s="1951"/>
      <c r="AN98" s="1951"/>
      <c r="AO98" s="1951"/>
      <c r="AP98" s="1951"/>
      <c r="AQ98" s="1951"/>
      <c r="AR98" s="2000">
        <v>0</v>
      </c>
    </row>
    <row s="63055" customFormat="1" customHeight="1" ht="17.25">
      <c r="A99" s="1013"/>
      <c r="C99" s="1012"/>
      <c r="D99" s="2828"/>
      <c r="E99" s="2836"/>
      <c r="F99" s="2838"/>
      <c r="G99" s="2836"/>
      <c r="H99" s="2841"/>
      <c r="I99" s="2843"/>
      <c r="J99" s="2846"/>
      <c r="K99" s="2830"/>
      <c r="L99" s="2830"/>
      <c r="M99" s="2830"/>
      <c r="N99" s="2833"/>
      <c r="O99" s="2830"/>
      <c r="P99" s="2163"/>
      <c r="Q99" s="1989"/>
      <c r="R99" s="1989"/>
      <c r="S99" s="1021"/>
      <c r="T99" s="1021"/>
      <c r="U99" s="1021"/>
      <c r="V99" s="1021"/>
      <c r="W99" s="1990"/>
      <c r="X99" s="1951"/>
      <c r="Y99" s="1951"/>
      <c r="Z99" s="1951"/>
      <c r="AA99" s="1951"/>
      <c r="AB99" s="1951"/>
      <c r="AC99" s="1951"/>
      <c r="AD99" s="1951"/>
      <c r="AE99" s="1951"/>
      <c r="AF99" s="1951"/>
      <c r="AG99" s="1951"/>
      <c r="AH99" s="1951"/>
      <c r="AI99" s="1951"/>
      <c r="AJ99" s="1951"/>
      <c r="AK99" s="1951"/>
      <c r="AL99" s="1951"/>
      <c r="AM99" s="1951"/>
      <c r="AN99" s="1951"/>
      <c r="AO99" s="1951"/>
      <c r="AP99" s="1951"/>
      <c r="AQ99" s="1951"/>
      <c r="AR99" s="2000">
        <v>0</v>
      </c>
    </row>
    <row s="63055" customFormat="1" customHeight="1" ht="17.25">
      <c r="A100" s="1013"/>
      <c r="C100" s="901"/>
      <c r="D100" s="2828"/>
      <c r="E100" s="2836"/>
      <c r="F100" s="2838"/>
      <c r="G100" s="2836"/>
      <c r="H100" s="2841"/>
      <c r="I100" s="2843"/>
      <c r="J100" s="2846"/>
      <c r="K100" s="2830"/>
      <c r="L100" s="1989"/>
      <c r="M100" s="1989"/>
      <c r="N100" s="1989"/>
      <c r="O100" s="1989"/>
      <c r="P100" s="1989"/>
      <c r="Q100" s="1989"/>
      <c r="R100" s="1989"/>
      <c r="S100" s="1021"/>
      <c r="T100" s="1021"/>
      <c r="U100" s="1021"/>
      <c r="V100" s="1021"/>
      <c r="W100" s="1990"/>
      <c r="Y100" s="1959"/>
      <c r="Z100" s="1959"/>
      <c r="AA100" s="1959"/>
      <c r="AB100" s="1959"/>
      <c r="AC100" s="1959"/>
      <c r="AD100" s="1959"/>
      <c r="AE100" s="1959"/>
      <c r="AF100" s="1959"/>
      <c r="AG100" s="1959"/>
      <c r="AH100" s="1959"/>
      <c r="AI100" s="1959"/>
      <c r="AJ100" s="1959"/>
      <c r="AK100" s="1959"/>
      <c r="AL100" s="1959"/>
      <c r="AM100" s="1959"/>
      <c r="AN100" s="1959"/>
      <c r="AO100" s="1959"/>
      <c r="AP100" s="1959"/>
      <c r="AQ100" s="1959"/>
      <c r="AR100" s="2018">
        <v>0</v>
      </c>
    </row>
    <row s="63055" customFormat="1" customHeight="1" ht="17.25">
      <c r="A101" s="1013"/>
      <c r="C101" s="1012"/>
      <c r="D101" s="2828"/>
      <c r="E101" s="2836"/>
      <c r="F101" s="2839"/>
      <c r="G101" s="2836"/>
      <c r="H101" s="1991"/>
      <c r="I101" s="1992"/>
      <c r="J101" s="1992"/>
      <c r="K101" s="1992"/>
      <c r="L101" s="1992"/>
      <c r="M101" s="1992"/>
      <c r="N101" s="1992"/>
      <c r="O101" s="1992"/>
      <c r="P101" s="1992"/>
      <c r="Q101" s="1992"/>
      <c r="R101" s="1992"/>
      <c r="S101" s="1993"/>
      <c r="T101" s="1993"/>
      <c r="U101" s="1993"/>
      <c r="V101" s="1993"/>
      <c r="W101" s="1994"/>
      <c r="X101" s="1951"/>
      <c r="Y101" s="1951"/>
      <c r="Z101" s="1951"/>
      <c r="AA101" s="1951"/>
      <c r="AB101" s="1951"/>
      <c r="AC101" s="1951"/>
      <c r="AD101" s="1951"/>
      <c r="AE101" s="1951"/>
      <c r="AF101" s="1951"/>
      <c r="AG101" s="1951"/>
      <c r="AH101" s="1951"/>
      <c r="AI101" s="1951"/>
      <c r="AJ101" s="1951"/>
      <c r="AK101" s="1951"/>
      <c r="AL101" s="1951"/>
      <c r="AM101" s="1951"/>
      <c r="AN101" s="1951"/>
      <c r="AO101" s="1951"/>
      <c r="AP101" s="1951"/>
      <c r="AQ101" s="1951"/>
      <c r="AR101" s="2000">
        <v>0</v>
      </c>
    </row>
    <row s="63055" customFormat="1" customHeight="1" ht="17.25">
      <c r="A102" s="1013"/>
      <c r="C102" s="901"/>
      <c r="D102" s="2827">
        <v>9</v>
      </c>
      <c r="E102" s="2835" t="s">
        <v>279</v>
      </c>
      <c r="F102" s="2837" t="s">
        <v>19</v>
      </c>
      <c r="G102" s="2835"/>
      <c r="H102" s="2840"/>
      <c r="I102" s="2842"/>
      <c r="J102" s="2844"/>
      <c r="K102" s="2829"/>
      <c r="L102" s="2829"/>
      <c r="M102" s="2829"/>
      <c r="N102" s="2831"/>
      <c r="O102" s="2829"/>
      <c r="P102" s="2829"/>
      <c r="Q102" s="2829"/>
      <c r="R102" s="2834"/>
      <c r="S102" s="2829"/>
      <c r="T102" s="2623"/>
      <c r="U102" s="2623"/>
      <c r="V102" s="2625"/>
      <c r="W102" s="1988"/>
      <c r="X102" s="1959"/>
      <c r="Y102" s="1959"/>
      <c r="Z102" s="1959"/>
      <c r="AA102" s="1959"/>
      <c r="AB102" s="1959"/>
      <c r="AC102" s="1959" t="s">
        <v>280</v>
      </c>
      <c r="AD102" s="1959" t="s">
        <v>281</v>
      </c>
      <c r="AE102" s="1959" t="s">
        <v>282</v>
      </c>
      <c r="AF102" s="1959" t="s">
        <v>283</v>
      </c>
      <c r="AG102" s="1959" t="s">
        <v>284</v>
      </c>
      <c r="AH102" s="1959" t="str">
        <f>IF($E$102=0,"",$E$102)</f>
        <v>Плата за подключение (технологическое присоединение) к системе теплоснабжения (индивидуальная)</v>
      </c>
      <c r="AI102" s="1959" t="str">
        <f>IF($G$102=0,"",$G$102)</f>
        <v/>
      </c>
      <c r="AJ102" s="1959" t="str">
        <f>IF($J$102=0,"",$J$102)</f>
        <v/>
      </c>
      <c r="AK102" s="1959" t="str">
        <f>IF($K$102="нет","без дифференциации",IF($N$102=0,"",$N$102))</f>
        <v/>
      </c>
      <c r="AL102" s="1959" t="str">
        <f>IF($O$102="нет","без дифференциации",IF($R$102=0,"",$R$102))</f>
        <v/>
      </c>
      <c r="AM102" s="1959" t="str">
        <f>IF($S$102="нет","без дифференциации",IF($V$102=0,"",$V$102))</f>
        <v/>
      </c>
      <c r="AN102" s="2464">
        <f>$I$102</f>
        <v>0</v>
      </c>
      <c r="AO102" s="1959" t="str">
        <f>$I$102&amp;"."&amp;$M$102</f>
        <v>.</v>
      </c>
      <c r="AP102" s="1958" t="str">
        <f>$I$102&amp;"."&amp;$M$102&amp;"."&amp;$Q$102</f>
        <v>..</v>
      </c>
      <c r="AQ102" s="1958" t="str">
        <f>$I$102&amp;"."&amp;$M$102&amp;"."&amp;$Q$102&amp;"."&amp;$U$102</f>
        <v>...</v>
      </c>
      <c r="AR102" s="2159">
        <v>0</v>
      </c>
    </row>
    <row s="63055" customFormat="1" customHeight="1" ht="17.25">
      <c r="A103" s="1013"/>
      <c r="C103" s="1012"/>
      <c r="D103" s="2827"/>
      <c r="E103" s="2835"/>
      <c r="F103" s="2838"/>
      <c r="G103" s="2835"/>
      <c r="H103" s="2841"/>
      <c r="I103" s="2843"/>
      <c r="J103" s="2845"/>
      <c r="K103" s="2830"/>
      <c r="L103" s="2830"/>
      <c r="M103" s="2830"/>
      <c r="N103" s="2832"/>
      <c r="O103" s="2830"/>
      <c r="P103" s="2830"/>
      <c r="Q103" s="2830"/>
      <c r="R103" s="2833"/>
      <c r="S103" s="2830"/>
      <c r="T103" s="2626"/>
      <c r="U103" s="2626"/>
      <c r="V103" s="2626"/>
      <c r="W103" s="2627"/>
      <c r="X103" s="1958"/>
      <c r="Y103" s="1958"/>
      <c r="Z103" s="1958"/>
      <c r="AA103" s="1958"/>
      <c r="AB103" s="1958"/>
      <c r="AC103" s="1958"/>
      <c r="AD103" s="1958"/>
      <c r="AE103" s="1958"/>
      <c r="AF103" s="1958"/>
      <c r="AG103" s="1958"/>
      <c r="AH103" s="1958"/>
      <c r="AI103" s="1958"/>
      <c r="AJ103" s="1958"/>
      <c r="AK103" s="1958"/>
      <c r="AL103" s="1958"/>
      <c r="AM103" s="1958"/>
      <c r="AN103" s="1958"/>
      <c r="AO103" s="1958"/>
      <c r="AP103" s="1958"/>
      <c r="AQ103" s="1958"/>
      <c r="AR103" s="2159">
        <v>0</v>
      </c>
    </row>
    <row s="63055" customFormat="1" customHeight="1" ht="17.25">
      <c r="A104" s="1013"/>
      <c r="C104" s="1012"/>
      <c r="D104" s="2828"/>
      <c r="E104" s="2836"/>
      <c r="F104" s="2838"/>
      <c r="G104" s="2836"/>
      <c r="H104" s="2841"/>
      <c r="I104" s="2843"/>
      <c r="J104" s="2846"/>
      <c r="K104" s="2830"/>
      <c r="L104" s="2830"/>
      <c r="M104" s="2830"/>
      <c r="N104" s="2833"/>
      <c r="O104" s="2830"/>
      <c r="P104" s="2624"/>
      <c r="Q104" s="2626"/>
      <c r="R104" s="2626"/>
      <c r="S104" s="1021"/>
      <c r="T104" s="1021"/>
      <c r="U104" s="1021"/>
      <c r="V104" s="1021"/>
      <c r="W104" s="2627"/>
      <c r="X104" s="1958"/>
      <c r="Y104" s="1958"/>
      <c r="Z104" s="1958"/>
      <c r="AA104" s="1958"/>
      <c r="AB104" s="1958"/>
      <c r="AC104" s="1958"/>
      <c r="AD104" s="1958"/>
      <c r="AE104" s="1958"/>
      <c r="AF104" s="1958"/>
      <c r="AG104" s="1958"/>
      <c r="AH104" s="1958"/>
      <c r="AI104" s="1958"/>
      <c r="AJ104" s="1958"/>
      <c r="AK104" s="1958"/>
      <c r="AL104" s="1958"/>
      <c r="AM104" s="1958"/>
      <c r="AN104" s="1958"/>
      <c r="AO104" s="1958"/>
      <c r="AP104" s="1958"/>
      <c r="AQ104" s="1958"/>
      <c r="AR104" s="2159">
        <v>0</v>
      </c>
    </row>
    <row s="63055" customFormat="1" customHeight="1" ht="17.25">
      <c r="A105" s="1013"/>
      <c r="C105" s="901"/>
      <c r="D105" s="2828"/>
      <c r="E105" s="2836"/>
      <c r="F105" s="2838"/>
      <c r="G105" s="2836"/>
      <c r="H105" s="2841"/>
      <c r="I105" s="2843"/>
      <c r="J105" s="2846"/>
      <c r="K105" s="2830"/>
      <c r="L105" s="2626"/>
      <c r="M105" s="2626"/>
      <c r="N105" s="2626"/>
      <c r="O105" s="2626"/>
      <c r="P105" s="2626"/>
      <c r="Q105" s="2626"/>
      <c r="R105" s="2626"/>
      <c r="S105" s="1021"/>
      <c r="T105" s="1021"/>
      <c r="U105" s="1021"/>
      <c r="V105" s="1021"/>
      <c r="W105" s="2627"/>
      <c r="Y105" s="1959"/>
      <c r="Z105" s="1959"/>
      <c r="AA105" s="1959"/>
      <c r="AB105" s="1959"/>
      <c r="AC105" s="1959"/>
      <c r="AD105" s="1959"/>
      <c r="AE105" s="1959"/>
      <c r="AF105" s="1959"/>
      <c r="AG105" s="1959"/>
      <c r="AH105" s="1959"/>
      <c r="AI105" s="1959"/>
      <c r="AJ105" s="1959"/>
      <c r="AK105" s="1959"/>
      <c r="AL105" s="1959"/>
      <c r="AM105" s="1959"/>
      <c r="AN105" s="1959"/>
      <c r="AO105" s="1959"/>
      <c r="AP105" s="1959"/>
      <c r="AQ105" s="1959"/>
      <c r="AR105" s="2159">
        <v>0</v>
      </c>
    </row>
    <row s="63055" customFormat="1" customHeight="1" ht="17.25">
      <c r="A106" s="1013"/>
      <c r="C106" s="1012"/>
      <c r="D106" s="2828"/>
      <c r="E106" s="2836"/>
      <c r="F106" s="2839"/>
      <c r="G106" s="2836"/>
      <c r="H106" s="1991"/>
      <c r="I106" s="2628"/>
      <c r="J106" s="2628"/>
      <c r="K106" s="2628"/>
      <c r="L106" s="2628"/>
      <c r="M106" s="2628"/>
      <c r="N106" s="2628"/>
      <c r="O106" s="2628"/>
      <c r="P106" s="2628"/>
      <c r="Q106" s="2628"/>
      <c r="R106" s="2628"/>
      <c r="S106" s="1993"/>
      <c r="T106" s="1993"/>
      <c r="U106" s="1993"/>
      <c r="V106" s="1993"/>
      <c r="W106" s="2629"/>
      <c r="X106" s="1958"/>
      <c r="Y106" s="1958"/>
      <c r="Z106" s="1958"/>
      <c r="AA106" s="1958"/>
      <c r="AB106" s="1958"/>
      <c r="AC106" s="1958"/>
      <c r="AD106" s="1958"/>
      <c r="AE106" s="1958"/>
      <c r="AF106" s="1958"/>
      <c r="AG106" s="1958"/>
      <c r="AH106" s="1958"/>
      <c r="AI106" s="1958"/>
      <c r="AJ106" s="1958"/>
      <c r="AK106" s="1958"/>
      <c r="AL106" s="1958"/>
      <c r="AM106" s="1958"/>
      <c r="AN106" s="1958"/>
      <c r="AO106" s="1958"/>
      <c r="AP106" s="1958"/>
      <c r="AQ106" s="1958"/>
      <c r="AR106" s="2159">
        <v>0</v>
      </c>
    </row>
    <row s="63055" customFormat="1" customHeight="1" ht="17.25" hidden="1">
      <c r="A107" s="1013"/>
      <c r="C107" s="901"/>
      <c r="D107" s="2827">
        <v>10</v>
      </c>
      <c r="E107" s="2835" t="s">
        <v>285</v>
      </c>
      <c r="F107" s="2837" t="s">
        <v>19</v>
      </c>
      <c r="G107" s="2835"/>
      <c r="H107" s="2840"/>
      <c r="I107" s="2842"/>
      <c r="J107" s="2844"/>
      <c r="K107" s="2829"/>
      <c r="L107" s="2829"/>
      <c r="M107" s="2829"/>
      <c r="N107" s="2831"/>
      <c r="O107" s="2829"/>
      <c r="P107" s="2829"/>
      <c r="Q107" s="2829"/>
      <c r="R107" s="2834"/>
      <c r="S107" s="2829"/>
      <c r="T107" s="2623"/>
      <c r="U107" s="2623"/>
      <c r="V107" s="2625"/>
      <c r="W107" s="1988"/>
      <c r="X107" s="1959"/>
      <c r="Y107" s="1959"/>
      <c r="Z107" s="1959"/>
      <c r="AA107" s="1959"/>
      <c r="AB107" s="1959"/>
      <c r="AC107" s="1959" t="s">
        <v>286</v>
      </c>
      <c r="AD107" s="1959" t="s">
        <v>287</v>
      </c>
      <c r="AE107" s="1959" t="s">
        <v>288</v>
      </c>
      <c r="AF107" s="1959" t="s">
        <v>289</v>
      </c>
      <c r="AG107" s="1959" t="s">
        <v>290</v>
      </c>
      <c r="AH107" s="1959" t="str">
        <f>IF($E$107=0,"",$E$107)</f>
        <v>Предельный уровень цены на тепловую энергию (мощность), поставляемую теплоснабжающими организациями потребителям</v>
      </c>
      <c r="AI107" s="1959" t="str">
        <f>IF($G$107=0,"",$G$107)</f>
        <v/>
      </c>
      <c r="AJ107" s="1959" t="str">
        <f>IF($J$107=0,"",$J$107)</f>
        <v/>
      </c>
      <c r="AK107" s="1959" t="str">
        <f>IF($K$107="нет","без дифференциации",IF($N$107=0,"",$N$107))</f>
        <v/>
      </c>
      <c r="AL107" s="1959" t="str">
        <f>IF($O$107="нет","без дифференциации",IF($R$107=0,"",$R$107))</f>
        <v/>
      </c>
      <c r="AM107" s="1959" t="str">
        <f>IF($S$107="нет","без дифференциации",IF($V$107=0,"",$V$107))</f>
        <v/>
      </c>
      <c r="AN107" s="2464">
        <f>$I$107</f>
        <v>0</v>
      </c>
      <c r="AO107" s="1959" t="str">
        <f>$I$107&amp;"."&amp;$M$107</f>
        <v>.</v>
      </c>
      <c r="AP107" s="1958" t="str">
        <f>$I$107&amp;"."&amp;$M$107&amp;"."&amp;$Q$107</f>
        <v>..</v>
      </c>
      <c r="AQ107" s="1958" t="str">
        <f>$I$107&amp;"."&amp;$M$107&amp;"."&amp;$Q$107&amp;"."&amp;$U$107</f>
        <v>...</v>
      </c>
      <c r="AR107" s="2159">
        <v>0</v>
      </c>
    </row>
    <row s="63055" customFormat="1" customHeight="1" ht="17.25" hidden="1">
      <c r="A108" s="1013"/>
      <c r="C108" s="1012"/>
      <c r="D108" s="2827"/>
      <c r="E108" s="2835"/>
      <c r="F108" s="2838"/>
      <c r="G108" s="2835"/>
      <c r="H108" s="2841"/>
      <c r="I108" s="2843"/>
      <c r="J108" s="2845"/>
      <c r="K108" s="2830"/>
      <c r="L108" s="2830"/>
      <c r="M108" s="2830"/>
      <c r="N108" s="2832"/>
      <c r="O108" s="2830"/>
      <c r="P108" s="2830"/>
      <c r="Q108" s="2830"/>
      <c r="R108" s="2833"/>
      <c r="S108" s="2830"/>
      <c r="T108" s="2626"/>
      <c r="U108" s="2626"/>
      <c r="V108" s="2626"/>
      <c r="W108" s="2627"/>
      <c r="X108" s="1958"/>
      <c r="Y108" s="1958"/>
      <c r="Z108" s="1958"/>
      <c r="AA108" s="1958"/>
      <c r="AB108" s="1958"/>
      <c r="AC108" s="1958"/>
      <c r="AD108" s="1958"/>
      <c r="AE108" s="1958"/>
      <c r="AF108" s="1958"/>
      <c r="AG108" s="1958"/>
      <c r="AH108" s="1958"/>
      <c r="AI108" s="1958"/>
      <c r="AJ108" s="1958"/>
      <c r="AK108" s="1958"/>
      <c r="AL108" s="1958"/>
      <c r="AM108" s="1958"/>
      <c r="AN108" s="1958"/>
      <c r="AO108" s="1958"/>
      <c r="AP108" s="1958"/>
      <c r="AQ108" s="1958"/>
      <c r="AR108" s="2159">
        <v>0</v>
      </c>
    </row>
    <row s="63055" customFormat="1" customHeight="1" ht="17.25" hidden="1">
      <c r="A109" s="1013"/>
      <c r="C109" s="1012"/>
      <c r="D109" s="2828"/>
      <c r="E109" s="2836"/>
      <c r="F109" s="2838"/>
      <c r="G109" s="2836"/>
      <c r="H109" s="2841"/>
      <c r="I109" s="2843"/>
      <c r="J109" s="2846"/>
      <c r="K109" s="2830"/>
      <c r="L109" s="2830"/>
      <c r="M109" s="2830"/>
      <c r="N109" s="2833"/>
      <c r="O109" s="2830"/>
      <c r="P109" s="2624"/>
      <c r="Q109" s="2626"/>
      <c r="R109" s="2626"/>
      <c r="S109" s="1021"/>
      <c r="T109" s="1021"/>
      <c r="U109" s="1021"/>
      <c r="V109" s="1021"/>
      <c r="W109" s="2627"/>
      <c r="X109" s="1958"/>
      <c r="Y109" s="1958"/>
      <c r="Z109" s="1958"/>
      <c r="AA109" s="1958"/>
      <c r="AB109" s="1958"/>
      <c r="AC109" s="1958"/>
      <c r="AD109" s="1958"/>
      <c r="AE109" s="1958"/>
      <c r="AF109" s="1958"/>
      <c r="AG109" s="1958"/>
      <c r="AH109" s="1958"/>
      <c r="AI109" s="1958"/>
      <c r="AJ109" s="1958"/>
      <c r="AK109" s="1958"/>
      <c r="AL109" s="1958"/>
      <c r="AM109" s="1958"/>
      <c r="AN109" s="1958"/>
      <c r="AO109" s="1958"/>
      <c r="AP109" s="1958"/>
      <c r="AQ109" s="1958"/>
      <c r="AR109" s="2159">
        <v>0</v>
      </c>
    </row>
    <row s="63055" customFormat="1" customHeight="1" ht="17.25" hidden="1">
      <c r="A110" s="1013"/>
      <c r="C110" s="901"/>
      <c r="D110" s="2828"/>
      <c r="E110" s="2836"/>
      <c r="F110" s="2838"/>
      <c r="G110" s="2836"/>
      <c r="H110" s="2841"/>
      <c r="I110" s="2843"/>
      <c r="J110" s="2846"/>
      <c r="K110" s="2830"/>
      <c r="L110" s="2626"/>
      <c r="M110" s="2626"/>
      <c r="N110" s="2626"/>
      <c r="O110" s="2626"/>
      <c r="P110" s="2626"/>
      <c r="Q110" s="2626"/>
      <c r="R110" s="2626"/>
      <c r="S110" s="1021"/>
      <c r="T110" s="1021"/>
      <c r="U110" s="1021"/>
      <c r="V110" s="1021"/>
      <c r="W110" s="2627"/>
      <c r="Y110" s="1959"/>
      <c r="Z110" s="1959"/>
      <c r="AA110" s="1959"/>
      <c r="AB110" s="1959"/>
      <c r="AC110" s="1959"/>
      <c r="AD110" s="1959"/>
      <c r="AE110" s="1959"/>
      <c r="AF110" s="1959"/>
      <c r="AG110" s="1959"/>
      <c r="AH110" s="1959"/>
      <c r="AI110" s="1959"/>
      <c r="AJ110" s="1959"/>
      <c r="AK110" s="1959"/>
      <c r="AL110" s="1959"/>
      <c r="AM110" s="1959"/>
      <c r="AN110" s="1959"/>
      <c r="AO110" s="1959"/>
      <c r="AP110" s="1959"/>
      <c r="AQ110" s="1959"/>
      <c r="AR110" s="2159">
        <v>0</v>
      </c>
    </row>
    <row s="63055" customFormat="1" customHeight="1" ht="17.25" hidden="1">
      <c r="A111" s="1013"/>
      <c r="C111" s="1012"/>
      <c r="D111" s="2828"/>
      <c r="E111" s="2836"/>
      <c r="F111" s="2839"/>
      <c r="G111" s="2836"/>
      <c r="H111" s="1991"/>
      <c r="I111" s="2628"/>
      <c r="J111" s="2628"/>
      <c r="K111" s="2628"/>
      <c r="L111" s="2628"/>
      <c r="M111" s="2628"/>
      <c r="N111" s="2628"/>
      <c r="O111" s="2628"/>
      <c r="P111" s="2628"/>
      <c r="Q111" s="2628"/>
      <c r="R111" s="2628"/>
      <c r="S111" s="1993"/>
      <c r="T111" s="1993"/>
      <c r="U111" s="1993"/>
      <c r="V111" s="1993"/>
      <c r="W111" s="2629"/>
      <c r="X111" s="1958"/>
      <c r="Y111" s="1958"/>
      <c r="Z111" s="1958"/>
      <c r="AA111" s="1958"/>
      <c r="AB111" s="1958"/>
      <c r="AC111" s="1958"/>
      <c r="AD111" s="1958"/>
      <c r="AE111" s="1958"/>
      <c r="AF111" s="1958"/>
      <c r="AG111" s="1958"/>
      <c r="AH111" s="1958"/>
      <c r="AI111" s="1958"/>
      <c r="AJ111" s="1958"/>
      <c r="AK111" s="1958"/>
      <c r="AL111" s="1958"/>
      <c r="AM111" s="1958"/>
      <c r="AN111" s="1958"/>
      <c r="AO111" s="1958"/>
      <c r="AP111" s="1958"/>
      <c r="AQ111" s="1958"/>
      <c r="AR111" s="2159">
        <v>0</v>
      </c>
    </row>
    <row customHeight="1" ht="11.25">
      <c r="AR112" s="796">
        <v>0</v>
      </c>
    </row>
    <row customHeight="1" ht="11.25">
      <c r="E113" s="2866" t="s">
        <v>291</v>
      </c>
      <c r="F113" s="2866"/>
      <c r="G113" s="2866"/>
      <c r="H113" s="2866"/>
      <c r="I113" s="2866"/>
      <c r="J113" s="2866"/>
      <c r="K113" s="2866"/>
      <c r="L113" s="2866"/>
      <c r="M113" s="2866"/>
      <c r="N113" s="2866"/>
      <c r="O113" s="2866"/>
      <c r="P113" s="2866"/>
      <c r="Q113" s="2866"/>
      <c r="R113" s="2866"/>
      <c r="S113" s="2866"/>
      <c r="T113" s="2866"/>
      <c r="U113" s="2866"/>
      <c r="V113" s="2866"/>
      <c r="W113" s="2866"/>
      <c r="AR113" s="796">
        <v>0</v>
      </c>
    </row>
    <row customHeight="1" ht="36.75">
      <c r="E114" s="2864" t="s">
        <v>292</v>
      </c>
      <c r="F114" s="2864"/>
      <c r="G114" s="2865"/>
      <c r="H114" s="2865"/>
      <c r="I114" s="2865"/>
      <c r="J114" s="2865"/>
      <c r="K114" s="2865"/>
      <c r="L114" s="2865"/>
      <c r="M114" s="2865"/>
      <c r="N114" s="2865"/>
      <c r="O114" s="2865"/>
      <c r="P114" s="2865"/>
      <c r="Q114" s="2865"/>
      <c r="R114" s="2865"/>
      <c r="S114" s="2865"/>
      <c r="T114" s="2865"/>
      <c r="U114" s="2865"/>
      <c r="V114" s="2865"/>
      <c r="W114" s="2865"/>
      <c r="AR114" s="796">
        <v>0</v>
      </c>
    </row>
    <row customHeight="1" ht="28.5">
      <c r="E115" s="2864" t="s">
        <v>293</v>
      </c>
      <c r="F115" s="2864"/>
      <c r="G115" s="2865"/>
      <c r="H115" s="2865"/>
      <c r="I115" s="2865"/>
      <c r="J115" s="2865"/>
      <c r="K115" s="2865"/>
      <c r="L115" s="2865"/>
      <c r="M115" s="2865"/>
      <c r="N115" s="2865"/>
      <c r="O115" s="2865"/>
      <c r="P115" s="2865"/>
      <c r="Q115" s="2865"/>
      <c r="R115" s="2865"/>
      <c r="S115" s="2865"/>
      <c r="T115" s="2865"/>
      <c r="U115" s="2865"/>
      <c r="V115" s="2865"/>
      <c r="W115" s="2865"/>
      <c r="AR115" s="796">
        <v>0</v>
      </c>
    </row>
    <row customHeight="1" ht="27">
      <c r="E116" s="2864" t="s">
        <v>294</v>
      </c>
      <c r="F116" s="2864"/>
      <c r="G116" s="2865"/>
      <c r="H116" s="2865"/>
      <c r="I116" s="2865"/>
      <c r="J116" s="2865"/>
      <c r="K116" s="2865"/>
      <c r="L116" s="2865"/>
      <c r="M116" s="2865"/>
      <c r="N116" s="2865"/>
      <c r="O116" s="2865"/>
      <c r="P116" s="2865"/>
      <c r="Q116" s="2865"/>
      <c r="R116" s="2865"/>
      <c r="S116" s="2865"/>
      <c r="T116" s="2865"/>
      <c r="U116" s="2865"/>
      <c r="V116" s="2865"/>
      <c r="W116" s="2865"/>
      <c r="AR116" s="796">
        <v>0</v>
      </c>
    </row>
    <row customHeight="1" ht="17.25">
      <c r="E117" s="2864" t="s">
        <v>295</v>
      </c>
      <c r="F117" s="2864"/>
      <c r="G117" s="2865"/>
      <c r="H117" s="2865"/>
      <c r="I117" s="2865"/>
      <c r="J117" s="2865"/>
      <c r="K117" s="2865"/>
      <c r="L117" s="2865"/>
      <c r="M117" s="2865"/>
      <c r="N117" s="2865"/>
      <c r="O117" s="2865"/>
      <c r="P117" s="2865"/>
      <c r="Q117" s="2865"/>
      <c r="R117" s="2865"/>
      <c r="S117" s="2865"/>
      <c r="T117" s="2865"/>
      <c r="U117" s="2865"/>
      <c r="V117" s="2865"/>
      <c r="W117" s="2865"/>
      <c r="AR117" s="796">
        <v>0</v>
      </c>
    </row>
    <row customHeight="1" ht="15">
      <c r="E118" s="1032"/>
      <c r="F118" s="1977"/>
      <c r="G118" s="849"/>
      <c r="H118" s="849"/>
      <c r="I118" s="849"/>
      <c r="J118" s="849"/>
      <c r="K118" s="849"/>
      <c r="L118" s="849"/>
      <c r="M118" s="849"/>
      <c r="N118" s="849"/>
      <c r="O118" s="849"/>
      <c r="P118" s="849"/>
      <c r="Q118" s="849"/>
      <c r="R118" s="849"/>
      <c r="S118" s="849"/>
      <c r="T118" s="849"/>
      <c r="U118" s="849"/>
      <c r="V118" s="849"/>
      <c r="W118" s="849"/>
      <c r="AR118" s="796">
        <v>0</v>
      </c>
    </row>
    <row customHeight="1" ht="15">
      <c r="E119" s="2866" t="s">
        <v>296</v>
      </c>
      <c r="F119" s="2866"/>
      <c r="G119" s="2866"/>
      <c r="H119" s="2866"/>
      <c r="I119" s="2866"/>
      <c r="J119" s="2866"/>
      <c r="K119" s="2866"/>
      <c r="L119" s="2866"/>
      <c r="M119" s="2866"/>
      <c r="N119" s="2866"/>
      <c r="O119" s="2866"/>
      <c r="P119" s="2866"/>
      <c r="Q119" s="2866"/>
      <c r="R119" s="2866"/>
      <c r="S119" s="2866"/>
      <c r="T119" s="2866"/>
      <c r="U119" s="2866"/>
      <c r="V119" s="2866"/>
      <c r="W119" s="2866"/>
      <c r="AR119" s="796">
        <v>0</v>
      </c>
    </row>
    <row customHeight="1" ht="17.25">
      <c r="E120" s="2864" t="s">
        <v>297</v>
      </c>
      <c r="F120" s="2864"/>
      <c r="G120" s="2865"/>
      <c r="H120" s="2865"/>
      <c r="I120" s="2865"/>
      <c r="J120" s="2865"/>
      <c r="K120" s="2865"/>
      <c r="L120" s="2865"/>
      <c r="M120" s="2865"/>
      <c r="N120" s="2865"/>
      <c r="O120" s="2865"/>
      <c r="P120" s="2865"/>
      <c r="Q120" s="2865"/>
      <c r="R120" s="2865"/>
      <c r="S120" s="2865"/>
      <c r="T120" s="2865"/>
      <c r="U120" s="2865"/>
      <c r="V120" s="2865"/>
      <c r="W120" s="2865"/>
      <c r="AR120" s="796">
        <v>0</v>
      </c>
    </row>
    <row customHeight="1" ht="17.25">
      <c r="E121" s="2864" t="s">
        <v>298</v>
      </c>
      <c r="F121" s="2864"/>
      <c r="G121" s="2865"/>
      <c r="H121" s="2865"/>
      <c r="I121" s="2865"/>
      <c r="J121" s="2865"/>
      <c r="K121" s="2865"/>
      <c r="L121" s="2865"/>
      <c r="M121" s="2865"/>
      <c r="N121" s="2865"/>
      <c r="O121" s="2865"/>
      <c r="P121" s="2865"/>
      <c r="Q121" s="2865"/>
      <c r="R121" s="2865"/>
      <c r="S121" s="2865"/>
      <c r="T121" s="2865"/>
      <c r="U121" s="2865"/>
      <c r="V121" s="2865"/>
      <c r="W121" s="2865"/>
      <c r="AR121" s="796">
        <v>0</v>
      </c>
    </row>
    <row s="63055" customFormat="1" customHeight="1" ht="11.25" hidden="1">
      <c r="A122" s="969"/>
      <c r="B122" s="969"/>
      <c r="Y122" s="1951"/>
      <c r="Z122" s="1951"/>
      <c r="AA122" s="1951"/>
      <c r="AB122" s="1951"/>
      <c r="AC122" s="1951"/>
      <c r="AD122" s="1951"/>
      <c r="AE122" s="1951"/>
      <c r="AF122" s="1951"/>
      <c r="AG122" s="1951"/>
      <c r="AH122" s="1951"/>
      <c r="AI122" s="1951"/>
      <c r="AJ122" s="1951"/>
      <c r="AK122" s="1951"/>
      <c r="AL122" s="1951"/>
      <c r="AM122" s="1951"/>
      <c r="AN122" s="1951"/>
      <c r="AO122" s="1951"/>
      <c r="AP122" s="1951"/>
      <c r="AQ122" s="1951"/>
      <c r="AR122" s="2042">
        <v>0</v>
      </c>
    </row>
    <row s="63055" customFormat="1" customHeight="1" ht="17.25" hidden="1">
      <c r="A123" s="1013"/>
      <c r="C123" s="901"/>
      <c r="D123" s="2827">
        <v>1</v>
      </c>
      <c r="E123" s="2835" t="s">
        <v>299</v>
      </c>
      <c r="F123" s="2837" t="s">
        <v>19</v>
      </c>
      <c r="G123" s="2835"/>
      <c r="H123" s="2840"/>
      <c r="I123" s="2842"/>
      <c r="J123" s="2844"/>
      <c r="K123" s="2829"/>
      <c r="L123" s="2829"/>
      <c r="M123" s="2829"/>
      <c r="N123" s="2831"/>
      <c r="O123" s="2829"/>
      <c r="P123" s="2829"/>
      <c r="Q123" s="2829"/>
      <c r="R123" s="2834"/>
      <c r="S123" s="2829"/>
      <c r="T123" s="2162"/>
      <c r="U123" s="2162"/>
      <c r="V123" s="2164"/>
      <c r="W123" s="1988"/>
      <c r="Y123" s="1959"/>
      <c r="Z123" s="1959"/>
      <c r="AA123" s="1959"/>
      <c r="AB123" s="1959"/>
      <c r="AC123" s="1959" t="s">
        <v>300</v>
      </c>
      <c r="AD123" s="1959" t="s">
        <v>301</v>
      </c>
      <c r="AE123" s="1959" t="s">
        <v>302</v>
      </c>
      <c r="AF123" s="1959" t="s">
        <v>303</v>
      </c>
      <c r="AG123" s="1959"/>
      <c r="AH123" s="1959" t="str">
        <f>IF($E$123=0,"",$E$123)</f>
        <v>Тариф на питьевую воду (питьевое водоснабжение)</v>
      </c>
      <c r="AI123" s="1959" t="str">
        <f>IF($G$123=0,"",$G$123)</f>
        <v/>
      </c>
      <c r="AJ123" s="1959" t="str">
        <f>IF($J$123=0,"",$J$123)</f>
        <v/>
      </c>
      <c r="AK123" s="1959" t="str">
        <f>IF($K$123="нет","без дифференциации",IF($N$123=0,"",$N$123))</f>
        <v/>
      </c>
      <c r="AL123" s="1959" t="str">
        <f>IF($O$123="нет","без дифференциации",IF($R$123=0,"",$R$123))</f>
        <v/>
      </c>
      <c r="AM123" s="1959" t="str">
        <f>IF($S$123="нет","без дифференциации",IF($V$123=0,"",$V$123))</f>
        <v/>
      </c>
      <c r="AN123" s="1959">
        <f>$I$123</f>
        <v>0</v>
      </c>
      <c r="AO123" s="1959" t="str">
        <f>$I$123&amp;"."&amp;$M$123</f>
        <v>.</v>
      </c>
      <c r="AP123" s="1959" t="str">
        <f>$I$123&amp;"."&amp;$M$123&amp;"."&amp;$Q$123</f>
        <v>..</v>
      </c>
      <c r="AQ123" s="1959" t="str">
        <f>$I$123&amp;"."&amp;$M$123&amp;"."&amp;$Q$123&amp;"."&amp;$U$123</f>
        <v>...</v>
      </c>
      <c r="AR123" s="2042">
        <v>0</v>
      </c>
    </row>
    <row s="63055" customFormat="1" customHeight="1" ht="17.25" hidden="1">
      <c r="A124" s="1013"/>
      <c r="C124" s="1012"/>
      <c r="D124" s="2827"/>
      <c r="E124" s="2835"/>
      <c r="F124" s="2838"/>
      <c r="G124" s="2835"/>
      <c r="H124" s="2841"/>
      <c r="I124" s="2843"/>
      <c r="J124" s="2845"/>
      <c r="K124" s="2830"/>
      <c r="L124" s="2830"/>
      <c r="M124" s="2830"/>
      <c r="N124" s="2832"/>
      <c r="O124" s="2830"/>
      <c r="P124" s="2830"/>
      <c r="Q124" s="2830"/>
      <c r="R124" s="2833"/>
      <c r="S124" s="2830"/>
      <c r="T124" s="1989"/>
      <c r="U124" s="1989"/>
      <c r="V124" s="1989"/>
      <c r="W124" s="1990"/>
      <c r="Y124" s="1951"/>
      <c r="Z124" s="1951"/>
      <c r="AA124" s="1951"/>
      <c r="AB124" s="1951"/>
      <c r="AC124" s="1951"/>
      <c r="AD124" s="1951"/>
      <c r="AE124" s="1951"/>
      <c r="AF124" s="1951"/>
      <c r="AG124" s="1951"/>
      <c r="AH124" s="1951"/>
      <c r="AI124" s="1951"/>
      <c r="AJ124" s="1951"/>
      <c r="AK124" s="1951"/>
      <c r="AL124" s="1951"/>
      <c r="AM124" s="1951"/>
      <c r="AN124" s="1951"/>
      <c r="AO124" s="1951"/>
      <c r="AP124" s="1951"/>
      <c r="AQ124" s="1951"/>
      <c r="AR124" s="2042">
        <v>0</v>
      </c>
    </row>
    <row s="63055" customFormat="1" customHeight="1" ht="17.25" hidden="1">
      <c r="A125" s="1013"/>
      <c r="C125" s="901"/>
      <c r="D125" s="2827"/>
      <c r="E125" s="2835"/>
      <c r="F125" s="2838"/>
      <c r="G125" s="2835"/>
      <c r="H125" s="2841"/>
      <c r="I125" s="2843"/>
      <c r="J125" s="2846"/>
      <c r="K125" s="2830"/>
      <c r="L125" s="2830"/>
      <c r="M125" s="2830"/>
      <c r="N125" s="2833"/>
      <c r="O125" s="2830"/>
      <c r="P125" s="2163"/>
      <c r="Q125" s="1989"/>
      <c r="R125" s="1989"/>
      <c r="S125" s="1021"/>
      <c r="T125" s="1021"/>
      <c r="U125" s="1021"/>
      <c r="V125" s="1021"/>
      <c r="W125" s="1990"/>
      <c r="Y125" s="1959"/>
      <c r="Z125" s="1959"/>
      <c r="AA125" s="1959"/>
      <c r="AB125" s="1959"/>
      <c r="AC125" s="1959"/>
      <c r="AD125" s="1959"/>
      <c r="AE125" s="1959"/>
      <c r="AF125" s="1959"/>
      <c r="AG125" s="1959"/>
      <c r="AH125" s="1959"/>
      <c r="AI125" s="1959"/>
      <c r="AJ125" s="1959"/>
      <c r="AK125" s="1959"/>
      <c r="AL125" s="1959"/>
      <c r="AM125" s="1959"/>
      <c r="AN125" s="1959"/>
      <c r="AO125" s="1959"/>
      <c r="AP125" s="1959"/>
      <c r="AQ125" s="1959"/>
      <c r="AR125" s="2133">
        <v>0</v>
      </c>
    </row>
    <row s="63055" customFormat="1" customHeight="1" ht="17.25" hidden="1">
      <c r="A126" s="1013"/>
      <c r="C126" s="1012"/>
      <c r="D126" s="2827"/>
      <c r="E126" s="2835"/>
      <c r="F126" s="2838"/>
      <c r="G126" s="2835"/>
      <c r="H126" s="2841"/>
      <c r="I126" s="2843"/>
      <c r="J126" s="2846"/>
      <c r="K126" s="2830"/>
      <c r="L126" s="1989"/>
      <c r="M126" s="1989"/>
      <c r="N126" s="1989"/>
      <c r="O126" s="1989"/>
      <c r="P126" s="1989"/>
      <c r="Q126" s="1989"/>
      <c r="R126" s="1989"/>
      <c r="S126" s="1021"/>
      <c r="T126" s="1021"/>
      <c r="U126" s="1021"/>
      <c r="V126" s="1021"/>
      <c r="W126" s="1990"/>
      <c r="Y126" s="1951"/>
      <c r="Z126" s="1951"/>
      <c r="AA126" s="1951"/>
      <c r="AB126" s="1951"/>
      <c r="AC126" s="1951"/>
      <c r="AD126" s="1951"/>
      <c r="AE126" s="1951"/>
      <c r="AF126" s="1951"/>
      <c r="AG126" s="1951"/>
      <c r="AH126" s="1951"/>
      <c r="AI126" s="1951"/>
      <c r="AJ126" s="1951"/>
      <c r="AK126" s="1951"/>
      <c r="AL126" s="1951"/>
      <c r="AM126" s="1951"/>
      <c r="AN126" s="1951"/>
      <c r="AO126" s="1951"/>
      <c r="AP126" s="1951"/>
      <c r="AQ126" s="1951"/>
      <c r="AR126" s="2133">
        <v>0</v>
      </c>
    </row>
    <row s="63055" customFormat="1" customHeight="1" ht="17.25" hidden="1">
      <c r="A127" s="1013"/>
      <c r="C127" s="1012"/>
      <c r="D127" s="2828"/>
      <c r="E127" s="2836"/>
      <c r="F127" s="2839"/>
      <c r="G127" s="2836"/>
      <c r="H127" s="1991"/>
      <c r="I127" s="1992"/>
      <c r="J127" s="1992"/>
      <c r="K127" s="1992"/>
      <c r="L127" s="1992"/>
      <c r="M127" s="1992"/>
      <c r="N127" s="1992"/>
      <c r="O127" s="1992"/>
      <c r="P127" s="1992"/>
      <c r="Q127" s="1992"/>
      <c r="R127" s="1992"/>
      <c r="S127" s="1993"/>
      <c r="T127" s="1993"/>
      <c r="U127" s="1993"/>
      <c r="V127" s="1993"/>
      <c r="W127" s="1994"/>
      <c r="Y127" s="1951"/>
      <c r="Z127" s="1951"/>
      <c r="AA127" s="1951"/>
      <c r="AB127" s="1951"/>
      <c r="AC127" s="1951"/>
      <c r="AD127" s="1951"/>
      <c r="AE127" s="1951"/>
      <c r="AF127" s="1951"/>
      <c r="AG127" s="1951"/>
      <c r="AH127" s="1951"/>
      <c r="AI127" s="1951"/>
      <c r="AJ127" s="1951"/>
      <c r="AK127" s="1951"/>
      <c r="AL127" s="1951"/>
      <c r="AM127" s="1951"/>
      <c r="AN127" s="1951"/>
      <c r="AO127" s="1951"/>
      <c r="AP127" s="1951"/>
      <c r="AQ127" s="1951"/>
      <c r="AR127" s="2042">
        <v>0</v>
      </c>
    </row>
    <row s="63055" customFormat="1" customHeight="1" ht="17.25" hidden="1">
      <c r="A128" s="1013"/>
      <c r="C128" s="901"/>
      <c r="D128" s="2827">
        <v>2</v>
      </c>
      <c r="E128" s="2835" t="s">
        <v>304</v>
      </c>
      <c r="F128" s="2837" t="s">
        <v>19</v>
      </c>
      <c r="G128" s="2835"/>
      <c r="H128" s="2840"/>
      <c r="I128" s="2842"/>
      <c r="J128" s="2844"/>
      <c r="K128" s="2829"/>
      <c r="L128" s="2829"/>
      <c r="M128" s="2829"/>
      <c r="N128" s="2831"/>
      <c r="O128" s="2829"/>
      <c r="P128" s="2829"/>
      <c r="Q128" s="2829"/>
      <c r="R128" s="2834"/>
      <c r="S128" s="2829"/>
      <c r="T128" s="2135"/>
      <c r="U128" s="2135"/>
      <c r="V128" s="2137"/>
      <c r="W128" s="1988"/>
      <c r="X128" s="1959"/>
      <c r="Y128" s="1959"/>
      <c r="Z128" s="1959"/>
      <c r="AA128" s="1959"/>
      <c r="AB128" s="1959"/>
      <c r="AC128" s="1959" t="s">
        <v>305</v>
      </c>
      <c r="AD128" s="1959" t="s">
        <v>306</v>
      </c>
      <c r="AE128" s="1959" t="s">
        <v>307</v>
      </c>
      <c r="AF128" s="1959" t="s">
        <v>308</v>
      </c>
      <c r="AG128" s="1959"/>
      <c r="AH128" s="1959" t="str">
        <f>IF($E$128=0,"",$E$128)</f>
        <v>Тариф на техническую воду</v>
      </c>
      <c r="AI128" s="1959" t="str">
        <f>IF($G$128=0,"",$G$128)</f>
        <v/>
      </c>
      <c r="AJ128" s="1959" t="str">
        <f>IF($J$128=0,"",$J$128)</f>
        <v/>
      </c>
      <c r="AK128" s="1959" t="str">
        <f>IF($K$128="нет","без дифференциации",IF($N$128=0,"",$N$128))</f>
        <v/>
      </c>
      <c r="AL128" s="1959" t="str">
        <f>IF($O$128="нет","без дифференциации",IF($R$128=0,"",$R$128))</f>
        <v/>
      </c>
      <c r="AM128" s="1959" t="str">
        <f>IF($S$128="нет","без дифференциации",IF($V$128=0,"",$V$128))</f>
        <v/>
      </c>
      <c r="AN128" s="2464">
        <f>$I$128</f>
        <v>0</v>
      </c>
      <c r="AO128" s="1959" t="str">
        <f>$I$128&amp;"."&amp;$M$128</f>
        <v>.</v>
      </c>
      <c r="AP128" s="1951" t="str">
        <f>$I$128&amp;"."&amp;$M$128&amp;"."&amp;$Q$128</f>
        <v>..</v>
      </c>
      <c r="AQ128" s="1951" t="str">
        <f>$I$128&amp;"."&amp;$M$128&amp;"."&amp;$Q$128&amp;"."&amp;$U$128</f>
        <v>...</v>
      </c>
      <c r="AR128" s="2042">
        <v>0</v>
      </c>
    </row>
    <row s="63055" customFormat="1" customHeight="1" ht="17.25" hidden="1">
      <c r="A129" s="1013"/>
      <c r="C129" s="1012"/>
      <c r="D129" s="2827"/>
      <c r="E129" s="2835"/>
      <c r="F129" s="2838"/>
      <c r="G129" s="2835"/>
      <c r="H129" s="2841"/>
      <c r="I129" s="2843"/>
      <c r="J129" s="2845"/>
      <c r="K129" s="2830"/>
      <c r="L129" s="2830"/>
      <c r="M129" s="2830"/>
      <c r="N129" s="2832"/>
      <c r="O129" s="2830"/>
      <c r="P129" s="2830"/>
      <c r="Q129" s="2830"/>
      <c r="R129" s="2833"/>
      <c r="S129" s="2830"/>
      <c r="T129" s="1989"/>
      <c r="U129" s="1989"/>
      <c r="V129" s="1989"/>
      <c r="W129" s="1990"/>
      <c r="X129" s="1951"/>
      <c r="Y129" s="1951"/>
      <c r="Z129" s="1951"/>
      <c r="AA129" s="1951"/>
      <c r="AB129" s="1951"/>
      <c r="AC129" s="1951"/>
      <c r="AD129" s="1951"/>
      <c r="AE129" s="1951"/>
      <c r="AF129" s="1951"/>
      <c r="AG129" s="1951"/>
      <c r="AH129" s="1951"/>
      <c r="AI129" s="1951"/>
      <c r="AJ129" s="1951"/>
      <c r="AK129" s="1951"/>
      <c r="AL129" s="1951"/>
      <c r="AM129" s="1951"/>
      <c r="AN129" s="1951"/>
      <c r="AO129" s="1951"/>
      <c r="AP129" s="1951"/>
      <c r="AQ129" s="1951"/>
      <c r="AR129" s="2042">
        <v>0</v>
      </c>
    </row>
    <row s="63055" customFormat="1" customHeight="1" ht="17.25" hidden="1">
      <c r="A130" s="1013"/>
      <c r="C130" s="1012"/>
      <c r="D130" s="2828"/>
      <c r="E130" s="2836"/>
      <c r="F130" s="2838"/>
      <c r="G130" s="2836"/>
      <c r="H130" s="2841"/>
      <c r="I130" s="2843"/>
      <c r="J130" s="2846"/>
      <c r="K130" s="2830"/>
      <c r="L130" s="2830"/>
      <c r="M130" s="2830"/>
      <c r="N130" s="2833"/>
      <c r="O130" s="2830"/>
      <c r="P130" s="2136"/>
      <c r="Q130" s="1989"/>
      <c r="R130" s="1989"/>
      <c r="S130" s="1021"/>
      <c r="T130" s="1021"/>
      <c r="U130" s="1021"/>
      <c r="V130" s="1021"/>
      <c r="W130" s="1990"/>
      <c r="X130" s="1951"/>
      <c r="Y130" s="1951"/>
      <c r="Z130" s="1951"/>
      <c r="AA130" s="1951"/>
      <c r="AB130" s="1951"/>
      <c r="AC130" s="1951"/>
      <c r="AD130" s="1951"/>
      <c r="AE130" s="1951"/>
      <c r="AF130" s="1951"/>
      <c r="AG130" s="1951"/>
      <c r="AH130" s="1951"/>
      <c r="AI130" s="1951"/>
      <c r="AJ130" s="1951"/>
      <c r="AK130" s="1951"/>
      <c r="AL130" s="1951"/>
      <c r="AM130" s="1951"/>
      <c r="AN130" s="1951"/>
      <c r="AO130" s="1951"/>
      <c r="AP130" s="1951"/>
      <c r="AQ130" s="1951"/>
      <c r="AR130" s="2042">
        <v>0</v>
      </c>
    </row>
    <row s="63055" customFormat="1" customHeight="1" ht="17.25" hidden="1">
      <c r="A131" s="1013"/>
      <c r="C131" s="1012"/>
      <c r="D131" s="2828"/>
      <c r="E131" s="2836"/>
      <c r="F131" s="2838"/>
      <c r="G131" s="2836"/>
      <c r="H131" s="2841"/>
      <c r="I131" s="2843"/>
      <c r="J131" s="2846"/>
      <c r="K131" s="2830"/>
      <c r="L131" s="1989"/>
      <c r="M131" s="1989"/>
      <c r="N131" s="1989"/>
      <c r="O131" s="1989"/>
      <c r="P131" s="1989"/>
      <c r="Q131" s="1989"/>
      <c r="R131" s="1989"/>
      <c r="S131" s="1021"/>
      <c r="T131" s="1021"/>
      <c r="U131" s="1021"/>
      <c r="V131" s="1021"/>
      <c r="W131" s="1990"/>
      <c r="X131" s="1951"/>
      <c r="Y131" s="1951"/>
      <c r="Z131" s="1951"/>
      <c r="AA131" s="1951"/>
      <c r="AB131" s="1951"/>
      <c r="AC131" s="1951"/>
      <c r="AD131" s="1951"/>
      <c r="AE131" s="1951"/>
      <c r="AF131" s="1951"/>
      <c r="AG131" s="1951"/>
      <c r="AH131" s="1951"/>
      <c r="AI131" s="1951"/>
      <c r="AJ131" s="1951"/>
      <c r="AK131" s="1951"/>
      <c r="AL131" s="1951"/>
      <c r="AM131" s="1951"/>
      <c r="AN131" s="1951"/>
      <c r="AO131" s="1951"/>
      <c r="AP131" s="1951"/>
      <c r="AQ131" s="1951"/>
      <c r="AR131" s="2042">
        <v>0</v>
      </c>
    </row>
    <row s="63055" customFormat="1" customHeight="1" ht="17.25" hidden="1">
      <c r="A132" s="1013"/>
      <c r="C132" s="1012"/>
      <c r="D132" s="2828"/>
      <c r="E132" s="2836"/>
      <c r="F132" s="2839"/>
      <c r="G132" s="2836"/>
      <c r="H132" s="1991"/>
      <c r="I132" s="1992"/>
      <c r="J132" s="1992"/>
      <c r="K132" s="1992"/>
      <c r="L132" s="1992"/>
      <c r="M132" s="1992"/>
      <c r="N132" s="1992"/>
      <c r="O132" s="1992"/>
      <c r="P132" s="1992"/>
      <c r="Q132" s="1992"/>
      <c r="R132" s="1992"/>
      <c r="S132" s="1993"/>
      <c r="T132" s="1993"/>
      <c r="U132" s="1993"/>
      <c r="V132" s="1993"/>
      <c r="W132" s="1994"/>
      <c r="X132" s="1951"/>
      <c r="Y132" s="1951"/>
      <c r="Z132" s="1951"/>
      <c r="AA132" s="1951"/>
      <c r="AB132" s="1951"/>
      <c r="AC132" s="1951"/>
      <c r="AD132" s="1951"/>
      <c r="AE132" s="1951"/>
      <c r="AF132" s="1951"/>
      <c r="AG132" s="1951"/>
      <c r="AH132" s="1951"/>
      <c r="AI132" s="1951"/>
      <c r="AJ132" s="1951"/>
      <c r="AK132" s="1951"/>
      <c r="AL132" s="1951"/>
      <c r="AM132" s="1951"/>
      <c r="AN132" s="1951"/>
      <c r="AO132" s="1951"/>
      <c r="AP132" s="1951"/>
      <c r="AQ132" s="1951"/>
      <c r="AR132" s="2042">
        <v>0</v>
      </c>
    </row>
    <row s="63055" customFormat="1" customHeight="1" ht="17.25" hidden="1">
      <c r="A133" s="1013"/>
      <c r="C133" s="901"/>
      <c r="D133" s="2827">
        <v>3</v>
      </c>
      <c r="E133" s="2835" t="s">
        <v>309</v>
      </c>
      <c r="F133" s="2837" t="s">
        <v>19</v>
      </c>
      <c r="G133" s="2835"/>
      <c r="H133" s="2840"/>
      <c r="I133" s="2842"/>
      <c r="J133" s="2844"/>
      <c r="K133" s="2829"/>
      <c r="L133" s="2829"/>
      <c r="M133" s="2829"/>
      <c r="N133" s="2831"/>
      <c r="O133" s="2829"/>
      <c r="P133" s="2829"/>
      <c r="Q133" s="2829"/>
      <c r="R133" s="2834"/>
      <c r="S133" s="2829"/>
      <c r="T133" s="2135"/>
      <c r="U133" s="2135"/>
      <c r="V133" s="2137"/>
      <c r="W133" s="1988"/>
      <c r="X133" s="1959"/>
      <c r="Y133" s="1959"/>
      <c r="Z133" s="1959"/>
      <c r="AA133" s="1959"/>
      <c r="AB133" s="1959"/>
      <c r="AC133" s="1959" t="s">
        <v>310</v>
      </c>
      <c r="AD133" s="1959" t="s">
        <v>311</v>
      </c>
      <c r="AE133" s="1959" t="s">
        <v>312</v>
      </c>
      <c r="AF133" s="1959" t="s">
        <v>313</v>
      </c>
      <c r="AG133" s="1959"/>
      <c r="AH133" s="1959" t="str">
        <f>IF($E$133=0,"",$E$133)</f>
        <v>Тариф на транспортировку воды</v>
      </c>
      <c r="AI133" s="1959" t="str">
        <f>IF($G$133=0,"",$G$133)</f>
        <v/>
      </c>
      <c r="AJ133" s="1959" t="str">
        <f>IF($J$133=0,"",$J$133)</f>
        <v/>
      </c>
      <c r="AK133" s="1959" t="str">
        <f>IF($K$133="нет","без дифференциации",IF($N$133=0,"",$N$133))</f>
        <v/>
      </c>
      <c r="AL133" s="1959" t="str">
        <f>IF($O$133="нет","без дифференциации",IF($R$133=0,"",$R$133))</f>
        <v/>
      </c>
      <c r="AM133" s="1959" t="str">
        <f>IF($S$133="нет","без дифференциации",IF($V$133=0,"",$V$133))</f>
        <v/>
      </c>
      <c r="AN133" s="2464">
        <f>$I$133</f>
        <v>0</v>
      </c>
      <c r="AO133" s="1959" t="str">
        <f>$I$133&amp;"."&amp;$M$133</f>
        <v>.</v>
      </c>
      <c r="AP133" s="1951" t="str">
        <f>$I$133&amp;"."&amp;$M$133&amp;"."&amp;$Q$133</f>
        <v>..</v>
      </c>
      <c r="AQ133" s="1951" t="str">
        <f>$I$133&amp;"."&amp;$M$133&amp;"."&amp;$Q$133&amp;"."&amp;$U$133</f>
        <v>...</v>
      </c>
      <c r="AR133" s="2042">
        <v>0</v>
      </c>
    </row>
    <row s="63055" customFormat="1" customHeight="1" ht="17.25" hidden="1">
      <c r="A134" s="1013"/>
      <c r="C134" s="1012"/>
      <c r="D134" s="2827"/>
      <c r="E134" s="2835"/>
      <c r="F134" s="2838"/>
      <c r="G134" s="2835"/>
      <c r="H134" s="2841"/>
      <c r="I134" s="2843"/>
      <c r="J134" s="2845"/>
      <c r="K134" s="2830"/>
      <c r="L134" s="2830"/>
      <c r="M134" s="2830"/>
      <c r="N134" s="2832"/>
      <c r="O134" s="2830"/>
      <c r="P134" s="2830"/>
      <c r="Q134" s="2830"/>
      <c r="R134" s="2833"/>
      <c r="S134" s="2830"/>
      <c r="T134" s="1989"/>
      <c r="U134" s="1989"/>
      <c r="V134" s="1989"/>
      <c r="W134" s="1990"/>
      <c r="X134" s="1951"/>
      <c r="Y134" s="1951"/>
      <c r="Z134" s="1951"/>
      <c r="AA134" s="1951"/>
      <c r="AB134" s="1951"/>
      <c r="AC134" s="1951"/>
      <c r="AD134" s="1951"/>
      <c r="AE134" s="1951"/>
      <c r="AF134" s="1951"/>
      <c r="AG134" s="1951"/>
      <c r="AH134" s="1951"/>
      <c r="AI134" s="1951"/>
      <c r="AJ134" s="1951"/>
      <c r="AK134" s="1951"/>
      <c r="AL134" s="1951"/>
      <c r="AM134" s="1951"/>
      <c r="AN134" s="1951"/>
      <c r="AO134" s="1951"/>
      <c r="AP134" s="1951"/>
      <c r="AQ134" s="1951"/>
      <c r="AR134" s="2042">
        <v>0</v>
      </c>
    </row>
    <row s="63055" customFormat="1" customHeight="1" ht="17.25" hidden="1">
      <c r="A135" s="1013"/>
      <c r="C135" s="1012"/>
      <c r="D135" s="2828"/>
      <c r="E135" s="2836"/>
      <c r="F135" s="2838"/>
      <c r="G135" s="2836"/>
      <c r="H135" s="2841"/>
      <c r="I135" s="2843"/>
      <c r="J135" s="2846"/>
      <c r="K135" s="2830"/>
      <c r="L135" s="2830"/>
      <c r="M135" s="2830"/>
      <c r="N135" s="2833"/>
      <c r="O135" s="2830"/>
      <c r="P135" s="2136"/>
      <c r="Q135" s="1989"/>
      <c r="R135" s="1989"/>
      <c r="S135" s="1021"/>
      <c r="T135" s="1021"/>
      <c r="U135" s="1021"/>
      <c r="V135" s="1021"/>
      <c r="W135" s="1990"/>
      <c r="X135" s="1951"/>
      <c r="Y135" s="1951"/>
      <c r="Z135" s="1951"/>
      <c r="AA135" s="1951"/>
      <c r="AB135" s="1951"/>
      <c r="AC135" s="1951"/>
      <c r="AD135" s="1951"/>
      <c r="AE135" s="1951"/>
      <c r="AF135" s="1951"/>
      <c r="AG135" s="1951"/>
      <c r="AH135" s="1951"/>
      <c r="AI135" s="1951"/>
      <c r="AJ135" s="1951"/>
      <c r="AK135" s="1951"/>
      <c r="AL135" s="1951"/>
      <c r="AM135" s="1951"/>
      <c r="AN135" s="1951"/>
      <c r="AO135" s="1951"/>
      <c r="AP135" s="1951"/>
      <c r="AQ135" s="1951"/>
      <c r="AR135" s="2042">
        <v>0</v>
      </c>
    </row>
    <row s="63055" customFormat="1" customHeight="1" ht="17.25" hidden="1">
      <c r="A136" s="1013"/>
      <c r="C136" s="1012"/>
      <c r="D136" s="2828"/>
      <c r="E136" s="2836"/>
      <c r="F136" s="2838"/>
      <c r="G136" s="2836"/>
      <c r="H136" s="2841"/>
      <c r="I136" s="2843"/>
      <c r="J136" s="2846"/>
      <c r="K136" s="2830"/>
      <c r="L136" s="1989"/>
      <c r="M136" s="1989"/>
      <c r="N136" s="1989"/>
      <c r="O136" s="1989"/>
      <c r="P136" s="1989"/>
      <c r="Q136" s="1989"/>
      <c r="R136" s="1989"/>
      <c r="S136" s="1021"/>
      <c r="T136" s="1021"/>
      <c r="U136" s="1021"/>
      <c r="V136" s="1021"/>
      <c r="W136" s="1990"/>
      <c r="X136" s="1951"/>
      <c r="Y136" s="1951"/>
      <c r="Z136" s="1951"/>
      <c r="AA136" s="1951"/>
      <c r="AB136" s="1951"/>
      <c r="AC136" s="1951"/>
      <c r="AD136" s="1951"/>
      <c r="AE136" s="1951"/>
      <c r="AF136" s="1951"/>
      <c r="AG136" s="1951"/>
      <c r="AH136" s="1951"/>
      <c r="AI136" s="1951"/>
      <c r="AJ136" s="1951"/>
      <c r="AK136" s="1951"/>
      <c r="AL136" s="1951"/>
      <c r="AM136" s="1951"/>
      <c r="AN136" s="1951"/>
      <c r="AO136" s="1951"/>
      <c r="AP136" s="1951"/>
      <c r="AQ136" s="1951"/>
      <c r="AR136" s="2042">
        <v>0</v>
      </c>
    </row>
    <row s="63055" customFormat="1" customHeight="1" ht="17.25" hidden="1">
      <c r="A137" s="1013"/>
      <c r="C137" s="1012"/>
      <c r="D137" s="2828"/>
      <c r="E137" s="2836"/>
      <c r="F137" s="2839"/>
      <c r="G137" s="2836"/>
      <c r="H137" s="1991"/>
      <c r="I137" s="1992"/>
      <c r="J137" s="1992"/>
      <c r="K137" s="1992"/>
      <c r="L137" s="1992"/>
      <c r="M137" s="1992"/>
      <c r="N137" s="1992"/>
      <c r="O137" s="1992"/>
      <c r="P137" s="1992"/>
      <c r="Q137" s="1992"/>
      <c r="R137" s="1992"/>
      <c r="S137" s="1993"/>
      <c r="T137" s="1993"/>
      <c r="U137" s="1993"/>
      <c r="V137" s="1993"/>
      <c r="W137" s="1994"/>
      <c r="X137" s="1951"/>
      <c r="Y137" s="1951"/>
      <c r="Z137" s="1951"/>
      <c r="AA137" s="1951"/>
      <c r="AB137" s="1951"/>
      <c r="AC137" s="1951"/>
      <c r="AD137" s="1951"/>
      <c r="AE137" s="1951"/>
      <c r="AF137" s="1951"/>
      <c r="AG137" s="1951"/>
      <c r="AH137" s="1951"/>
      <c r="AI137" s="1951"/>
      <c r="AJ137" s="1951"/>
      <c r="AK137" s="1951"/>
      <c r="AL137" s="1951"/>
      <c r="AM137" s="1951"/>
      <c r="AN137" s="1951"/>
      <c r="AO137" s="1951"/>
      <c r="AP137" s="1951"/>
      <c r="AQ137" s="1951"/>
      <c r="AR137" s="2042">
        <v>0</v>
      </c>
    </row>
    <row s="63055" customFormat="1" customHeight="1" ht="17.25" hidden="1">
      <c r="A138" s="1013"/>
      <c r="C138" s="901"/>
      <c r="D138" s="2827">
        <v>4</v>
      </c>
      <c r="E138" s="2835" t="s">
        <v>314</v>
      </c>
      <c r="F138" s="2837" t="s">
        <v>19</v>
      </c>
      <c r="G138" s="2835"/>
      <c r="H138" s="2840"/>
      <c r="I138" s="2842"/>
      <c r="J138" s="2844"/>
      <c r="K138" s="2829"/>
      <c r="L138" s="2829"/>
      <c r="M138" s="2829"/>
      <c r="N138" s="2831"/>
      <c r="O138" s="2829"/>
      <c r="P138" s="2829"/>
      <c r="Q138" s="2829"/>
      <c r="R138" s="2834"/>
      <c r="S138" s="2829"/>
      <c r="T138" s="2135"/>
      <c r="U138" s="2135"/>
      <c r="V138" s="2137"/>
      <c r="W138" s="1988"/>
      <c r="X138" s="1959"/>
      <c r="Y138" s="1959"/>
      <c r="Z138" s="1959"/>
      <c r="AA138" s="1959"/>
      <c r="AB138" s="1959"/>
      <c r="AC138" s="1959" t="s">
        <v>315</v>
      </c>
      <c r="AD138" s="1959" t="s">
        <v>316</v>
      </c>
      <c r="AE138" s="1959" t="s">
        <v>317</v>
      </c>
      <c r="AF138" s="1959" t="s">
        <v>318</v>
      </c>
      <c r="AG138" s="1959"/>
      <c r="AH138" s="1959" t="str">
        <f>IF($E$138=0,"",$E$138)</f>
        <v>Тариф на подвоз воды</v>
      </c>
      <c r="AI138" s="1959" t="str">
        <f>IF($G$138=0,"",$G$138)</f>
        <v/>
      </c>
      <c r="AJ138" s="1959" t="str">
        <f>IF($J$138=0,"",$J$138)</f>
        <v/>
      </c>
      <c r="AK138" s="1959" t="str">
        <f>IF($K$138="нет","без дифференциации",IF($N$138=0,"",$N$138))</f>
        <v/>
      </c>
      <c r="AL138" s="1959" t="str">
        <f>IF($O$138="нет","без дифференциации",IF($R$138=0,"",$R$138))</f>
        <v/>
      </c>
      <c r="AM138" s="1959" t="str">
        <f>IF($S$138="нет","без дифференциации",IF($V$138=0,"",$V$138))</f>
        <v/>
      </c>
      <c r="AN138" s="2464">
        <f>$I$138</f>
        <v>0</v>
      </c>
      <c r="AO138" s="1959" t="str">
        <f>$I$138&amp;"."&amp;$M$138</f>
        <v>.</v>
      </c>
      <c r="AP138" s="1951" t="str">
        <f>$I$138&amp;"."&amp;$M$138&amp;"."&amp;$Q$138</f>
        <v>..</v>
      </c>
      <c r="AQ138" s="1951" t="str">
        <f>$I$138&amp;"."&amp;$M$138&amp;"."&amp;$Q$138&amp;"."&amp;$U$138</f>
        <v>...</v>
      </c>
      <c r="AR138" s="2042">
        <v>0</v>
      </c>
    </row>
    <row s="63055" customFormat="1" customHeight="1" ht="17.25" hidden="1">
      <c r="A139" s="1013"/>
      <c r="C139" s="1012"/>
      <c r="D139" s="2827"/>
      <c r="E139" s="2835"/>
      <c r="F139" s="2838"/>
      <c r="G139" s="2835"/>
      <c r="H139" s="2841"/>
      <c r="I139" s="2843"/>
      <c r="J139" s="2845"/>
      <c r="K139" s="2830"/>
      <c r="L139" s="2830"/>
      <c r="M139" s="2830"/>
      <c r="N139" s="2832"/>
      <c r="O139" s="2830"/>
      <c r="P139" s="2830"/>
      <c r="Q139" s="2830"/>
      <c r="R139" s="2833"/>
      <c r="S139" s="2830"/>
      <c r="T139" s="1989"/>
      <c r="U139" s="1989"/>
      <c r="V139" s="1989"/>
      <c r="W139" s="1990"/>
      <c r="X139" s="1951"/>
      <c r="Y139" s="1951"/>
      <c r="Z139" s="1951"/>
      <c r="AA139" s="1951"/>
      <c r="AB139" s="1951"/>
      <c r="AC139" s="1951"/>
      <c r="AD139" s="1951"/>
      <c r="AE139" s="1951"/>
      <c r="AF139" s="1951"/>
      <c r="AG139" s="1951"/>
      <c r="AH139" s="1951"/>
      <c r="AI139" s="1951"/>
      <c r="AJ139" s="1951"/>
      <c r="AK139" s="1951"/>
      <c r="AL139" s="1951"/>
      <c r="AM139" s="1951"/>
      <c r="AN139" s="1951"/>
      <c r="AO139" s="1951"/>
      <c r="AP139" s="1951"/>
      <c r="AQ139" s="1951"/>
      <c r="AR139" s="2042">
        <v>0</v>
      </c>
    </row>
    <row s="63055" customFormat="1" customHeight="1" ht="17.25" hidden="1">
      <c r="A140" s="1013"/>
      <c r="C140" s="1012"/>
      <c r="D140" s="2828"/>
      <c r="E140" s="2836"/>
      <c r="F140" s="2838"/>
      <c r="G140" s="2836"/>
      <c r="H140" s="2841"/>
      <c r="I140" s="2843"/>
      <c r="J140" s="2846"/>
      <c r="K140" s="2830"/>
      <c r="L140" s="2830"/>
      <c r="M140" s="2830"/>
      <c r="N140" s="2833"/>
      <c r="O140" s="2830"/>
      <c r="P140" s="2136"/>
      <c r="Q140" s="1989"/>
      <c r="R140" s="1989"/>
      <c r="S140" s="1021"/>
      <c r="T140" s="1021"/>
      <c r="U140" s="1021"/>
      <c r="V140" s="1021"/>
      <c r="W140" s="1990"/>
      <c r="X140" s="1951"/>
      <c r="Y140" s="1951"/>
      <c r="Z140" s="1951"/>
      <c r="AA140" s="1951"/>
      <c r="AB140" s="1951"/>
      <c r="AC140" s="1951"/>
      <c r="AD140" s="1951"/>
      <c r="AE140" s="1951"/>
      <c r="AF140" s="1951"/>
      <c r="AG140" s="1951"/>
      <c r="AH140" s="1951"/>
      <c r="AI140" s="1951"/>
      <c r="AJ140" s="1951"/>
      <c r="AK140" s="1951"/>
      <c r="AL140" s="1951"/>
      <c r="AM140" s="1951"/>
      <c r="AN140" s="1951"/>
      <c r="AO140" s="1951"/>
      <c r="AP140" s="1951"/>
      <c r="AQ140" s="1951"/>
      <c r="AR140" s="2042">
        <v>0</v>
      </c>
    </row>
    <row s="63055" customFormat="1" customHeight="1" ht="17.25" hidden="1">
      <c r="A141" s="1013"/>
      <c r="C141" s="1012"/>
      <c r="D141" s="2828"/>
      <c r="E141" s="2836"/>
      <c r="F141" s="2838"/>
      <c r="G141" s="2836"/>
      <c r="H141" s="2841"/>
      <c r="I141" s="2843"/>
      <c r="J141" s="2846"/>
      <c r="K141" s="2830"/>
      <c r="L141" s="1989"/>
      <c r="M141" s="1989"/>
      <c r="N141" s="1989"/>
      <c r="O141" s="1989"/>
      <c r="P141" s="1989"/>
      <c r="Q141" s="1989"/>
      <c r="R141" s="1989"/>
      <c r="S141" s="1021"/>
      <c r="T141" s="1021"/>
      <c r="U141" s="1021"/>
      <c r="V141" s="1021"/>
      <c r="W141" s="1990"/>
      <c r="X141" s="1951"/>
      <c r="Y141" s="1951"/>
      <c r="Z141" s="1951"/>
      <c r="AA141" s="1951"/>
      <c r="AB141" s="1951"/>
      <c r="AC141" s="1951"/>
      <c r="AD141" s="1951"/>
      <c r="AE141" s="1951"/>
      <c r="AF141" s="1951"/>
      <c r="AG141" s="1951"/>
      <c r="AH141" s="1951"/>
      <c r="AI141" s="1951"/>
      <c r="AJ141" s="1951"/>
      <c r="AK141" s="1951"/>
      <c r="AL141" s="1951"/>
      <c r="AM141" s="1951"/>
      <c r="AN141" s="1951"/>
      <c r="AO141" s="1951"/>
      <c r="AP141" s="1951"/>
      <c r="AQ141" s="1951"/>
      <c r="AR141" s="2042">
        <v>0</v>
      </c>
    </row>
    <row s="63055" customFormat="1" customHeight="1" ht="17.25" hidden="1">
      <c r="A142" s="1013"/>
      <c r="C142" s="1012"/>
      <c r="D142" s="2828"/>
      <c r="E142" s="2836"/>
      <c r="F142" s="2839"/>
      <c r="G142" s="2836"/>
      <c r="H142" s="1991"/>
      <c r="I142" s="1992"/>
      <c r="J142" s="1992"/>
      <c r="K142" s="1992"/>
      <c r="L142" s="1992"/>
      <c r="M142" s="1992"/>
      <c r="N142" s="1992"/>
      <c r="O142" s="1992"/>
      <c r="P142" s="1992"/>
      <c r="Q142" s="1992"/>
      <c r="R142" s="1992"/>
      <c r="S142" s="1993"/>
      <c r="T142" s="1993"/>
      <c r="U142" s="1993"/>
      <c r="V142" s="1993"/>
      <c r="W142" s="1994"/>
      <c r="X142" s="1951"/>
      <c r="Y142" s="1951"/>
      <c r="Z142" s="1951"/>
      <c r="AA142" s="1951"/>
      <c r="AB142" s="1951"/>
      <c r="AC142" s="1951"/>
      <c r="AD142" s="1951"/>
      <c r="AE142" s="1951"/>
      <c r="AF142" s="1951"/>
      <c r="AG142" s="1951"/>
      <c r="AH142" s="1951"/>
      <c r="AI142" s="1951"/>
      <c r="AJ142" s="1951"/>
      <c r="AK142" s="1951"/>
      <c r="AL142" s="1951"/>
      <c r="AM142" s="1951"/>
      <c r="AN142" s="1951"/>
      <c r="AO142" s="1951"/>
      <c r="AP142" s="1951"/>
      <c r="AQ142" s="1951"/>
      <c r="AR142" s="2042">
        <v>0</v>
      </c>
    </row>
    <row s="63055" customFormat="1" customHeight="1" ht="17.25" hidden="1">
      <c r="A143" s="1013"/>
      <c r="C143" s="901"/>
      <c r="D143" s="2827">
        <v>5</v>
      </c>
      <c r="E143" s="2835" t="s">
        <v>319</v>
      </c>
      <c r="F143" s="2837" t="s">
        <v>19</v>
      </c>
      <c r="G143" s="2835"/>
      <c r="H143" s="2840"/>
      <c r="I143" s="2842"/>
      <c r="J143" s="2844"/>
      <c r="K143" s="2829"/>
      <c r="L143" s="2829"/>
      <c r="M143" s="2829"/>
      <c r="N143" s="2831"/>
      <c r="O143" s="2829"/>
      <c r="P143" s="2829"/>
      <c r="Q143" s="2829"/>
      <c r="R143" s="2834"/>
      <c r="S143" s="2829"/>
      <c r="T143" s="2635"/>
      <c r="U143" s="2635"/>
      <c r="V143" s="2637"/>
      <c r="W143" s="1988"/>
      <c r="X143" s="1959"/>
      <c r="Y143" s="1959"/>
      <c r="Z143" s="1959"/>
      <c r="AA143" s="1959"/>
      <c r="AB143" s="1959"/>
      <c r="AC143" s="1959" t="s">
        <v>320</v>
      </c>
      <c r="AD143" s="1959" t="s">
        <v>321</v>
      </c>
      <c r="AE143" s="1959" t="s">
        <v>322</v>
      </c>
      <c r="AF143" s="1959" t="s">
        <v>323</v>
      </c>
      <c r="AG143" s="1959"/>
      <c r="AH143" s="1959" t="str">
        <f>IF($E$143=0,"",$E$143)</f>
        <v>Тариф на подключение (технологическое присоединение) к централизованной системе холодного водоснабжения</v>
      </c>
      <c r="AI143" s="1959" t="str">
        <f>IF($G$143=0,"",$G$143)</f>
        <v/>
      </c>
      <c r="AJ143" s="1959" t="str">
        <f>IF($J$143=0,"",$J$143)</f>
        <v/>
      </c>
      <c r="AK143" s="1959" t="str">
        <f>IF($K$143="нет","без дифференциации",IF($N$143=0,"",$N$143))</f>
        <v/>
      </c>
      <c r="AL143" s="1959" t="str">
        <f>IF($O$143="нет","без дифференциации",IF($R$143=0,"",$R$143))</f>
        <v/>
      </c>
      <c r="AM143" s="1959" t="str">
        <f>IF($S$143="нет","без дифференциации",IF($V$143=0,"",$V$143))</f>
        <v/>
      </c>
      <c r="AN143" s="2464">
        <f>$I$143</f>
        <v>0</v>
      </c>
      <c r="AO143" s="1959" t="str">
        <f>$I$143&amp;"."&amp;$M$143</f>
        <v>.</v>
      </c>
      <c r="AP143" s="1958" t="str">
        <f>$I$143&amp;"."&amp;$M$143&amp;"."&amp;$Q$143</f>
        <v>..</v>
      </c>
      <c r="AQ143" s="1958" t="str">
        <f>$I$143&amp;"."&amp;$M$143&amp;"."&amp;$Q$143&amp;"."&amp;$U$143</f>
        <v>...</v>
      </c>
      <c r="AR143" s="2159">
        <v>0</v>
      </c>
    </row>
    <row s="63055" customFormat="1" customHeight="1" ht="17.25" hidden="1">
      <c r="A144" s="1013"/>
      <c r="C144" s="1012"/>
      <c r="D144" s="2827"/>
      <c r="E144" s="2835"/>
      <c r="F144" s="2838"/>
      <c r="G144" s="2835"/>
      <c r="H144" s="2841"/>
      <c r="I144" s="2843"/>
      <c r="J144" s="2845"/>
      <c r="K144" s="2830"/>
      <c r="L144" s="2830"/>
      <c r="M144" s="2830"/>
      <c r="N144" s="2832"/>
      <c r="O144" s="2830"/>
      <c r="P144" s="2830"/>
      <c r="Q144" s="2830"/>
      <c r="R144" s="2833"/>
      <c r="S144" s="2830"/>
      <c r="T144" s="2640"/>
      <c r="U144" s="2640"/>
      <c r="V144" s="2640"/>
      <c r="W144" s="2641"/>
      <c r="X144" s="1958"/>
      <c r="Y144" s="1958"/>
      <c r="Z144" s="1958"/>
      <c r="AA144" s="1958"/>
      <c r="AB144" s="1958"/>
      <c r="AC144" s="1958"/>
      <c r="AD144" s="1958"/>
      <c r="AE144" s="1958"/>
      <c r="AF144" s="1958"/>
      <c r="AG144" s="1958"/>
      <c r="AH144" s="1958"/>
      <c r="AI144" s="1958"/>
      <c r="AJ144" s="1958"/>
      <c r="AK144" s="1958"/>
      <c r="AL144" s="1958"/>
      <c r="AM144" s="1958"/>
      <c r="AN144" s="1958"/>
      <c r="AO144" s="1958"/>
      <c r="AP144" s="1958"/>
      <c r="AQ144" s="1958"/>
      <c r="AR144" s="2159">
        <v>0</v>
      </c>
    </row>
    <row s="63055" customFormat="1" customHeight="1" ht="17.25" hidden="1">
      <c r="A145" s="1013"/>
      <c r="C145" s="1012"/>
      <c r="D145" s="2828"/>
      <c r="E145" s="2836"/>
      <c r="F145" s="2838"/>
      <c r="G145" s="2836"/>
      <c r="H145" s="2841"/>
      <c r="I145" s="2843"/>
      <c r="J145" s="2846"/>
      <c r="K145" s="2830"/>
      <c r="L145" s="2830"/>
      <c r="M145" s="2830"/>
      <c r="N145" s="2833"/>
      <c r="O145" s="2830"/>
      <c r="P145" s="2636"/>
      <c r="Q145" s="2640"/>
      <c r="R145" s="2640"/>
      <c r="S145" s="1021"/>
      <c r="T145" s="1021"/>
      <c r="U145" s="1021"/>
      <c r="V145" s="1021"/>
      <c r="W145" s="2641"/>
      <c r="X145" s="1958"/>
      <c r="Y145" s="1958"/>
      <c r="Z145" s="1958"/>
      <c r="AA145" s="1958"/>
      <c r="AB145" s="1958"/>
      <c r="AC145" s="1958"/>
      <c r="AD145" s="1958"/>
      <c r="AE145" s="1958"/>
      <c r="AF145" s="1958"/>
      <c r="AG145" s="1958"/>
      <c r="AH145" s="1958"/>
      <c r="AI145" s="1958"/>
      <c r="AJ145" s="1958"/>
      <c r="AK145" s="1958"/>
      <c r="AL145" s="1958"/>
      <c r="AM145" s="1958"/>
      <c r="AN145" s="1958"/>
      <c r="AO145" s="1958"/>
      <c r="AP145" s="1958"/>
      <c r="AQ145" s="1958"/>
      <c r="AR145" s="2159">
        <v>0</v>
      </c>
    </row>
    <row s="63055" customFormat="1" customHeight="1" ht="17.25" hidden="1">
      <c r="A146" s="1013"/>
      <c r="C146" s="1012"/>
      <c r="D146" s="2828"/>
      <c r="E146" s="2836"/>
      <c r="F146" s="2838"/>
      <c r="G146" s="2836"/>
      <c r="H146" s="2841"/>
      <c r="I146" s="2843"/>
      <c r="J146" s="2846"/>
      <c r="K146" s="2830"/>
      <c r="L146" s="2640"/>
      <c r="M146" s="2640"/>
      <c r="N146" s="2640"/>
      <c r="O146" s="2640"/>
      <c r="P146" s="2640"/>
      <c r="Q146" s="2640"/>
      <c r="R146" s="2640"/>
      <c r="S146" s="1021"/>
      <c r="T146" s="1021"/>
      <c r="U146" s="1021"/>
      <c r="V146" s="1021"/>
      <c r="W146" s="2641"/>
      <c r="X146" s="1958"/>
      <c r="Y146" s="1958"/>
      <c r="Z146" s="1958"/>
      <c r="AA146" s="1958"/>
      <c r="AB146" s="1958"/>
      <c r="AC146" s="1958"/>
      <c r="AD146" s="1958"/>
      <c r="AE146" s="1958"/>
      <c r="AF146" s="1958"/>
      <c r="AG146" s="1958"/>
      <c r="AH146" s="1958"/>
      <c r="AI146" s="1958"/>
      <c r="AJ146" s="1958"/>
      <c r="AK146" s="1958"/>
      <c r="AL146" s="1958"/>
      <c r="AM146" s="1958"/>
      <c r="AN146" s="1958"/>
      <c r="AO146" s="1958"/>
      <c r="AP146" s="1958"/>
      <c r="AQ146" s="1958"/>
      <c r="AR146" s="2159">
        <v>0</v>
      </c>
    </row>
    <row s="63055" customFormat="1" customHeight="1" ht="17.25" hidden="1">
      <c r="A147" s="1013"/>
      <c r="C147" s="1012"/>
      <c r="D147" s="2828"/>
      <c r="E147" s="2836"/>
      <c r="F147" s="2839"/>
      <c r="G147" s="2836"/>
      <c r="H147" s="1991"/>
      <c r="I147" s="2638"/>
      <c r="J147" s="2638"/>
      <c r="K147" s="2638"/>
      <c r="L147" s="2638"/>
      <c r="M147" s="2638"/>
      <c r="N147" s="2638"/>
      <c r="O147" s="2638"/>
      <c r="P147" s="2638"/>
      <c r="Q147" s="2638"/>
      <c r="R147" s="2638"/>
      <c r="S147" s="1993"/>
      <c r="T147" s="1993"/>
      <c r="U147" s="1993"/>
      <c r="V147" s="1993"/>
      <c r="W147" s="2639"/>
      <c r="X147" s="1958"/>
      <c r="Y147" s="1958"/>
      <c r="Z147" s="1958"/>
      <c r="AA147" s="1958"/>
      <c r="AB147" s="1958"/>
      <c r="AC147" s="1958"/>
      <c r="AD147" s="1958"/>
      <c r="AE147" s="1958"/>
      <c r="AF147" s="1958"/>
      <c r="AG147" s="1958"/>
      <c r="AH147" s="1958"/>
      <c r="AI147" s="1958"/>
      <c r="AJ147" s="1958"/>
      <c r="AK147" s="1958"/>
      <c r="AL147" s="1958"/>
      <c r="AM147" s="1958"/>
      <c r="AN147" s="1958"/>
      <c r="AO147" s="1958"/>
      <c r="AP147" s="1958"/>
      <c r="AQ147" s="1958"/>
      <c r="AR147" s="2159">
        <v>0</v>
      </c>
    </row>
    <row s="63055" customFormat="1" customHeight="1" ht="11.25" hidden="1">
      <c r="A148" s="969"/>
      <c r="B148" s="969"/>
      <c r="Y148" s="1951"/>
      <c r="Z148" s="1951"/>
      <c r="AA148" s="1951"/>
      <c r="AB148" s="1951"/>
      <c r="AC148" s="1951"/>
      <c r="AD148" s="1951"/>
      <c r="AE148" s="1951"/>
      <c r="AF148" s="1951"/>
      <c r="AG148" s="1951"/>
      <c r="AH148" s="1951"/>
      <c r="AI148" s="1951"/>
      <c r="AJ148" s="1951"/>
      <c r="AK148" s="1951"/>
      <c r="AL148" s="1951"/>
      <c r="AM148" s="1951"/>
      <c r="AN148" s="1951"/>
      <c r="AO148" s="1951"/>
      <c r="AP148" s="1951"/>
      <c r="AQ148" s="1951"/>
      <c r="AR148" s="2159">
        <v>0</v>
      </c>
    </row>
    <row s="63055" customFormat="1" customHeight="1" ht="17.25" hidden="1">
      <c r="A149" s="1013"/>
      <c r="C149" s="901"/>
      <c r="D149" s="2827">
        <v>1</v>
      </c>
      <c r="E149" s="2835" t="s">
        <v>324</v>
      </c>
      <c r="F149" s="2837" t="s">
        <v>19</v>
      </c>
      <c r="G149" s="2835"/>
      <c r="H149" s="2840"/>
      <c r="I149" s="2842"/>
      <c r="J149" s="2844"/>
      <c r="K149" s="2829"/>
      <c r="L149" s="2829"/>
      <c r="M149" s="2829"/>
      <c r="N149" s="2831"/>
      <c r="O149" s="2829"/>
      <c r="P149" s="2829"/>
      <c r="Q149" s="2829"/>
      <c r="R149" s="2834"/>
      <c r="S149" s="2829"/>
      <c r="T149" s="2162"/>
      <c r="U149" s="2162"/>
      <c r="V149" s="2164"/>
      <c r="W149" s="1988"/>
      <c r="Y149" s="1959"/>
      <c r="Z149" s="1959"/>
      <c r="AA149" s="1959"/>
      <c r="AB149" s="1959"/>
      <c r="AC149" s="1959" t="s">
        <v>325</v>
      </c>
      <c r="AD149" s="1959" t="s">
        <v>326</v>
      </c>
      <c r="AE149" s="1959" t="s">
        <v>327</v>
      </c>
      <c r="AF149" s="1959" t="s">
        <v>328</v>
      </c>
      <c r="AG149" s="1959"/>
      <c r="AH149" s="1959" t="str">
        <f>IF($E$149=0,"",$E$149)</f>
        <v>Тариф на горячую воду (горячее водоснабжение)</v>
      </c>
      <c r="AI149" s="1959" t="str">
        <f>IF($G$149=0,"",$G$149)</f>
        <v/>
      </c>
      <c r="AJ149" s="1959" t="str">
        <f>IF($J$149=0,"",$J$149)</f>
        <v/>
      </c>
      <c r="AK149" s="1959" t="str">
        <f>IF($K$149="нет","без дифференциации",IF($N$149=0,"",$N$149))</f>
        <v/>
      </c>
      <c r="AL149" s="1959" t="str">
        <f>IF($O$149="нет","без дифференциации",IF($R$149=0,"",$R$149))</f>
        <v/>
      </c>
      <c r="AM149" s="1959" t="str">
        <f>IF($S$149="нет","без дифференциации",IF($V$149=0,"",$V$149))</f>
        <v/>
      </c>
      <c r="AN149" s="1959">
        <f>$I$149</f>
        <v>0</v>
      </c>
      <c r="AO149" s="1959" t="str">
        <f>$I$149&amp;"."&amp;$M$149</f>
        <v>.</v>
      </c>
      <c r="AP149" s="1959" t="str">
        <f>$I$149&amp;"."&amp;$M$149&amp;"."&amp;$Q$149</f>
        <v>..</v>
      </c>
      <c r="AQ149" s="1959" t="str">
        <f>$I$149&amp;"."&amp;$M$149&amp;"."&amp;$Q$149&amp;"."&amp;$U$149</f>
        <v>...</v>
      </c>
      <c r="AR149" s="2159">
        <v>0</v>
      </c>
    </row>
    <row s="63055" customFormat="1" customHeight="1" ht="17.25" hidden="1">
      <c r="A150" s="1013"/>
      <c r="C150" s="1012"/>
      <c r="D150" s="2827"/>
      <c r="E150" s="2835"/>
      <c r="F150" s="2838"/>
      <c r="G150" s="2835"/>
      <c r="H150" s="2841"/>
      <c r="I150" s="2843"/>
      <c r="J150" s="2845"/>
      <c r="K150" s="2830"/>
      <c r="L150" s="2830"/>
      <c r="M150" s="2830"/>
      <c r="N150" s="2832"/>
      <c r="O150" s="2830"/>
      <c r="P150" s="2830"/>
      <c r="Q150" s="2830"/>
      <c r="R150" s="2833"/>
      <c r="S150" s="2830"/>
      <c r="T150" s="1989"/>
      <c r="U150" s="1989"/>
      <c r="V150" s="1989"/>
      <c r="W150" s="1990"/>
      <c r="Y150" s="1951"/>
      <c r="Z150" s="1951"/>
      <c r="AA150" s="1951"/>
      <c r="AB150" s="1951"/>
      <c r="AC150" s="1951"/>
      <c r="AD150" s="1951"/>
      <c r="AE150" s="1951"/>
      <c r="AF150" s="1951"/>
      <c r="AG150" s="1951"/>
      <c r="AH150" s="1951"/>
      <c r="AI150" s="1951"/>
      <c r="AJ150" s="1951"/>
      <c r="AK150" s="1951"/>
      <c r="AL150" s="1951"/>
      <c r="AM150" s="1951"/>
      <c r="AN150" s="1951"/>
      <c r="AO150" s="1951"/>
      <c r="AP150" s="1951"/>
      <c r="AQ150" s="1951"/>
      <c r="AR150" s="2159">
        <v>0</v>
      </c>
    </row>
    <row s="63055" customFormat="1" customHeight="1" ht="17.25" hidden="1">
      <c r="A151" s="1013"/>
      <c r="C151" s="901"/>
      <c r="D151" s="2827"/>
      <c r="E151" s="2835"/>
      <c r="F151" s="2838"/>
      <c r="G151" s="2835"/>
      <c r="H151" s="2841"/>
      <c r="I151" s="2843"/>
      <c r="J151" s="2846"/>
      <c r="K151" s="2830"/>
      <c r="L151" s="2830"/>
      <c r="M151" s="2830"/>
      <c r="N151" s="2833"/>
      <c r="O151" s="2830"/>
      <c r="P151" s="2163"/>
      <c r="Q151" s="1989"/>
      <c r="R151" s="1989"/>
      <c r="S151" s="1021"/>
      <c r="T151" s="1021"/>
      <c r="U151" s="1021"/>
      <c r="V151" s="1021"/>
      <c r="W151" s="1990"/>
      <c r="Y151" s="1959"/>
      <c r="Z151" s="1959"/>
      <c r="AA151" s="1959"/>
      <c r="AB151" s="1959"/>
      <c r="AC151" s="1959"/>
      <c r="AD151" s="1959"/>
      <c r="AE151" s="1959"/>
      <c r="AF151" s="1959"/>
      <c r="AG151" s="1959"/>
      <c r="AH151" s="1959"/>
      <c r="AI151" s="1959"/>
      <c r="AJ151" s="1959"/>
      <c r="AK151" s="1959"/>
      <c r="AL151" s="1959"/>
      <c r="AM151" s="1959"/>
      <c r="AN151" s="1959"/>
      <c r="AO151" s="1959"/>
      <c r="AP151" s="1959"/>
      <c r="AQ151" s="1959"/>
      <c r="AR151" s="2159">
        <v>0</v>
      </c>
    </row>
    <row s="63055" customFormat="1" customHeight="1" ht="17.25" hidden="1">
      <c r="A152" s="1013"/>
      <c r="C152" s="1012"/>
      <c r="D152" s="2827"/>
      <c r="E152" s="2835"/>
      <c r="F152" s="2838"/>
      <c r="G152" s="2835"/>
      <c r="H152" s="2841"/>
      <c r="I152" s="2843"/>
      <c r="J152" s="2846"/>
      <c r="K152" s="2830"/>
      <c r="L152" s="1989"/>
      <c r="M152" s="1989"/>
      <c r="N152" s="1989"/>
      <c r="O152" s="1989"/>
      <c r="P152" s="1989"/>
      <c r="Q152" s="1989"/>
      <c r="R152" s="1989"/>
      <c r="S152" s="1021"/>
      <c r="T152" s="1021"/>
      <c r="U152" s="1021"/>
      <c r="V152" s="1021"/>
      <c r="W152" s="1990"/>
      <c r="Y152" s="1951"/>
      <c r="Z152" s="1951"/>
      <c r="AA152" s="1951"/>
      <c r="AB152" s="1951"/>
      <c r="AC152" s="1951"/>
      <c r="AD152" s="1951"/>
      <c r="AE152" s="1951"/>
      <c r="AF152" s="1951"/>
      <c r="AG152" s="1951"/>
      <c r="AH152" s="1951"/>
      <c r="AI152" s="1951"/>
      <c r="AJ152" s="1951"/>
      <c r="AK152" s="1951"/>
      <c r="AL152" s="1951"/>
      <c r="AM152" s="1951"/>
      <c r="AN152" s="1951"/>
      <c r="AO152" s="1951"/>
      <c r="AP152" s="1951"/>
      <c r="AQ152" s="1951"/>
      <c r="AR152" s="2159">
        <v>0</v>
      </c>
    </row>
    <row s="63055" customFormat="1" customHeight="1" ht="17.25" hidden="1">
      <c r="A153" s="1013"/>
      <c r="C153" s="1012"/>
      <c r="D153" s="2828"/>
      <c r="E153" s="2836"/>
      <c r="F153" s="2839"/>
      <c r="G153" s="2836"/>
      <c r="H153" s="1991"/>
      <c r="I153" s="1992"/>
      <c r="J153" s="1992"/>
      <c r="K153" s="1992"/>
      <c r="L153" s="1992"/>
      <c r="M153" s="1992"/>
      <c r="N153" s="1992"/>
      <c r="O153" s="1992"/>
      <c r="P153" s="1992"/>
      <c r="Q153" s="1992"/>
      <c r="R153" s="1992"/>
      <c r="S153" s="1993"/>
      <c r="T153" s="1993"/>
      <c r="U153" s="1993"/>
      <c r="V153" s="1993"/>
      <c r="W153" s="1994"/>
      <c r="Y153" s="1951"/>
      <c r="Z153" s="1951"/>
      <c r="AA153" s="1951"/>
      <c r="AB153" s="1951"/>
      <c r="AC153" s="1951"/>
      <c r="AD153" s="1951"/>
      <c r="AE153" s="1951"/>
      <c r="AF153" s="1951"/>
      <c r="AG153" s="1951"/>
      <c r="AH153" s="1951"/>
      <c r="AI153" s="1951"/>
      <c r="AJ153" s="1951"/>
      <c r="AK153" s="1951"/>
      <c r="AL153" s="1951"/>
      <c r="AM153" s="1951"/>
      <c r="AN153" s="1951"/>
      <c r="AO153" s="1951"/>
      <c r="AP153" s="1951"/>
      <c r="AQ153" s="1951"/>
      <c r="AR153" s="2159">
        <v>0</v>
      </c>
    </row>
    <row s="63055" customFormat="1" customHeight="1" ht="17.25" hidden="1">
      <c r="A154" s="1013"/>
      <c r="C154" s="901"/>
      <c r="D154" s="2827">
        <v>2</v>
      </c>
      <c r="E154" s="2835" t="s">
        <v>329</v>
      </c>
      <c r="F154" s="2837" t="s">
        <v>19</v>
      </c>
      <c r="G154" s="2835"/>
      <c r="H154" s="2840"/>
      <c r="I154" s="2842"/>
      <c r="J154" s="2844"/>
      <c r="K154" s="2829"/>
      <c r="L154" s="2829"/>
      <c r="M154" s="2829"/>
      <c r="N154" s="2831"/>
      <c r="O154" s="2829"/>
      <c r="P154" s="2829"/>
      <c r="Q154" s="2829"/>
      <c r="R154" s="2834"/>
      <c r="S154" s="2829"/>
      <c r="T154" s="2162"/>
      <c r="U154" s="2162"/>
      <c r="V154" s="2164"/>
      <c r="W154" s="1988"/>
      <c r="X154" s="1959"/>
      <c r="Y154" s="1959"/>
      <c r="Z154" s="1959"/>
      <c r="AA154" s="1959"/>
      <c r="AB154" s="1959"/>
      <c r="AC154" s="1959" t="s">
        <v>330</v>
      </c>
      <c r="AD154" s="1959" t="s">
        <v>331</v>
      </c>
      <c r="AE154" s="1959" t="s">
        <v>332</v>
      </c>
      <c r="AF154" s="1959" t="s">
        <v>333</v>
      </c>
      <c r="AG154" s="1959"/>
      <c r="AH154" s="1959" t="str">
        <f>IF($E$154=0,"",$E$154)</f>
        <v>Тариф на транспортировку горячей воды</v>
      </c>
      <c r="AI154" s="1959" t="str">
        <f>IF($G$154=0,"",$G$154)</f>
        <v/>
      </c>
      <c r="AJ154" s="1959" t="str">
        <f>IF($J$154=0,"",$J$154)</f>
        <v/>
      </c>
      <c r="AK154" s="1959" t="str">
        <f>IF($K$154="нет","без дифференциации",IF($N$154=0,"",$N$154))</f>
        <v/>
      </c>
      <c r="AL154" s="1959" t="str">
        <f>IF($O$154="нет","без дифференциации",IF($R$154=0,"",$R$154))</f>
        <v/>
      </c>
      <c r="AM154" s="1959" t="str">
        <f>IF($S$154="нет","без дифференциации",IF($V$154=0,"",$V$154))</f>
        <v/>
      </c>
      <c r="AN154" s="2464">
        <f>$I$154</f>
        <v>0</v>
      </c>
      <c r="AO154" s="1959" t="str">
        <f>$I$154&amp;"."&amp;$M$154</f>
        <v>.</v>
      </c>
      <c r="AP154" s="1951" t="str">
        <f>$I$154&amp;"."&amp;$M$154&amp;"."&amp;$Q$154</f>
        <v>..</v>
      </c>
      <c r="AQ154" s="1951" t="str">
        <f>$I$154&amp;"."&amp;$M$154&amp;"."&amp;$Q$154&amp;"."&amp;$U$154</f>
        <v>...</v>
      </c>
      <c r="AR154" s="2159">
        <v>0</v>
      </c>
    </row>
    <row s="63055" customFormat="1" customHeight="1" ht="17.25" hidden="1">
      <c r="A155" s="1013"/>
      <c r="C155" s="1012"/>
      <c r="D155" s="2827"/>
      <c r="E155" s="2835"/>
      <c r="F155" s="2838"/>
      <c r="G155" s="2835"/>
      <c r="H155" s="2841"/>
      <c r="I155" s="2843"/>
      <c r="J155" s="2845"/>
      <c r="K155" s="2830"/>
      <c r="L155" s="2830"/>
      <c r="M155" s="2830"/>
      <c r="N155" s="2832"/>
      <c r="O155" s="2830"/>
      <c r="P155" s="2830"/>
      <c r="Q155" s="2830"/>
      <c r="R155" s="2833"/>
      <c r="S155" s="2830"/>
      <c r="T155" s="1989"/>
      <c r="U155" s="1989"/>
      <c r="V155" s="1989"/>
      <c r="W155" s="1990"/>
      <c r="X155" s="1951"/>
      <c r="Y155" s="1951"/>
      <c r="Z155" s="1951"/>
      <c r="AA155" s="1951"/>
      <c r="AB155" s="1951"/>
      <c r="AC155" s="1951"/>
      <c r="AD155" s="1951"/>
      <c r="AE155" s="1951"/>
      <c r="AF155" s="1951"/>
      <c r="AG155" s="1951"/>
      <c r="AH155" s="1951"/>
      <c r="AI155" s="1951"/>
      <c r="AJ155" s="1951"/>
      <c r="AK155" s="1951"/>
      <c r="AL155" s="1951"/>
      <c r="AM155" s="1951"/>
      <c r="AN155" s="1951"/>
      <c r="AO155" s="1951"/>
      <c r="AP155" s="1951"/>
      <c r="AQ155" s="1951"/>
      <c r="AR155" s="2159">
        <v>0</v>
      </c>
    </row>
    <row s="63055" customFormat="1" customHeight="1" ht="17.25" hidden="1">
      <c r="A156" s="1013"/>
      <c r="C156" s="1012"/>
      <c r="D156" s="2828"/>
      <c r="E156" s="2836"/>
      <c r="F156" s="2838"/>
      <c r="G156" s="2836"/>
      <c r="H156" s="2841"/>
      <c r="I156" s="2843"/>
      <c r="J156" s="2846"/>
      <c r="K156" s="2830"/>
      <c r="L156" s="2830"/>
      <c r="M156" s="2830"/>
      <c r="N156" s="2833"/>
      <c r="O156" s="2830"/>
      <c r="P156" s="2163"/>
      <c r="Q156" s="1989"/>
      <c r="R156" s="1989"/>
      <c r="S156" s="1021"/>
      <c r="T156" s="1021"/>
      <c r="U156" s="1021"/>
      <c r="V156" s="1021"/>
      <c r="W156" s="1990"/>
      <c r="X156" s="1951"/>
      <c r="Y156" s="1951"/>
      <c r="Z156" s="1951"/>
      <c r="AA156" s="1951"/>
      <c r="AB156" s="1951"/>
      <c r="AC156" s="1951"/>
      <c r="AD156" s="1951"/>
      <c r="AE156" s="1951"/>
      <c r="AF156" s="1951"/>
      <c r="AG156" s="1951"/>
      <c r="AH156" s="1951"/>
      <c r="AI156" s="1951"/>
      <c r="AJ156" s="1951"/>
      <c r="AK156" s="1951"/>
      <c r="AL156" s="1951"/>
      <c r="AM156" s="1951"/>
      <c r="AN156" s="1951"/>
      <c r="AO156" s="1951"/>
      <c r="AP156" s="1951"/>
      <c r="AQ156" s="1951"/>
      <c r="AR156" s="2159">
        <v>0</v>
      </c>
    </row>
    <row s="63055" customFormat="1" customHeight="1" ht="17.25" hidden="1">
      <c r="A157" s="1013"/>
      <c r="C157" s="1012"/>
      <c r="D157" s="2828"/>
      <c r="E157" s="2836"/>
      <c r="F157" s="2838"/>
      <c r="G157" s="2836"/>
      <c r="H157" s="2841"/>
      <c r="I157" s="2843"/>
      <c r="J157" s="2846"/>
      <c r="K157" s="2830"/>
      <c r="L157" s="1989"/>
      <c r="M157" s="1989"/>
      <c r="N157" s="1989"/>
      <c r="O157" s="1989"/>
      <c r="P157" s="1989"/>
      <c r="Q157" s="1989"/>
      <c r="R157" s="1989"/>
      <c r="S157" s="1021"/>
      <c r="T157" s="1021"/>
      <c r="U157" s="1021"/>
      <c r="V157" s="1021"/>
      <c r="W157" s="1990"/>
      <c r="X157" s="1951"/>
      <c r="Y157" s="1951"/>
      <c r="Z157" s="1951"/>
      <c r="AA157" s="1951"/>
      <c r="AB157" s="1951"/>
      <c r="AC157" s="1951"/>
      <c r="AD157" s="1951"/>
      <c r="AE157" s="1951"/>
      <c r="AF157" s="1951"/>
      <c r="AG157" s="1951"/>
      <c r="AH157" s="1951"/>
      <c r="AI157" s="1951"/>
      <c r="AJ157" s="1951"/>
      <c r="AK157" s="1951"/>
      <c r="AL157" s="1951"/>
      <c r="AM157" s="1951"/>
      <c r="AN157" s="1951"/>
      <c r="AO157" s="1951"/>
      <c r="AP157" s="1951"/>
      <c r="AQ157" s="1951"/>
      <c r="AR157" s="2159">
        <v>0</v>
      </c>
    </row>
    <row s="63055" customFormat="1" customHeight="1" ht="17.25" hidden="1">
      <c r="A158" s="1013"/>
      <c r="C158" s="1012"/>
      <c r="D158" s="2828"/>
      <c r="E158" s="2836"/>
      <c r="F158" s="2839"/>
      <c r="G158" s="2836"/>
      <c r="H158" s="1991"/>
      <c r="I158" s="1992"/>
      <c r="J158" s="1992"/>
      <c r="K158" s="1992"/>
      <c r="L158" s="1992"/>
      <c r="M158" s="1992"/>
      <c r="N158" s="1992"/>
      <c r="O158" s="1992"/>
      <c r="P158" s="1992"/>
      <c r="Q158" s="1992"/>
      <c r="R158" s="1992"/>
      <c r="S158" s="1993"/>
      <c r="T158" s="1993"/>
      <c r="U158" s="1993"/>
      <c r="V158" s="1993"/>
      <c r="W158" s="1994"/>
      <c r="X158" s="1951"/>
      <c r="Y158" s="1951"/>
      <c r="Z158" s="1951"/>
      <c r="AA158" s="1951"/>
      <c r="AB158" s="1951"/>
      <c r="AC158" s="1951"/>
      <c r="AD158" s="1951"/>
      <c r="AE158" s="1951"/>
      <c r="AF158" s="1951"/>
      <c r="AG158" s="1951"/>
      <c r="AH158" s="1951"/>
      <c r="AI158" s="1951"/>
      <c r="AJ158" s="1951"/>
      <c r="AK158" s="1951"/>
      <c r="AL158" s="1951"/>
      <c r="AM158" s="1951"/>
      <c r="AN158" s="1951"/>
      <c r="AO158" s="1951"/>
      <c r="AP158" s="1951"/>
      <c r="AQ158" s="1951"/>
      <c r="AR158" s="2159">
        <v>0</v>
      </c>
    </row>
    <row s="63055" customFormat="1" customHeight="1" ht="17.25" hidden="1">
      <c r="A159" s="1013"/>
      <c r="C159" s="901"/>
      <c r="D159" s="2827">
        <v>3</v>
      </c>
      <c r="E159" s="2835" t="s">
        <v>334</v>
      </c>
      <c r="F159" s="2837" t="s">
        <v>19</v>
      </c>
      <c r="G159" s="2835"/>
      <c r="H159" s="2840"/>
      <c r="I159" s="2842"/>
      <c r="J159" s="2844"/>
      <c r="K159" s="2829"/>
      <c r="L159" s="2829"/>
      <c r="M159" s="2829"/>
      <c r="N159" s="2831"/>
      <c r="O159" s="2829"/>
      <c r="P159" s="2829"/>
      <c r="Q159" s="2829"/>
      <c r="R159" s="2834"/>
      <c r="S159" s="2829"/>
      <c r="T159" s="2635"/>
      <c r="U159" s="2635"/>
      <c r="V159" s="2637"/>
      <c r="W159" s="1988"/>
      <c r="X159" s="1959"/>
      <c r="Y159" s="1959"/>
      <c r="Z159" s="1959"/>
      <c r="AA159" s="1959"/>
      <c r="AB159" s="1959"/>
      <c r="AC159" s="1959" t="s">
        <v>335</v>
      </c>
      <c r="AD159" s="1959" t="s">
        <v>336</v>
      </c>
      <c r="AE159" s="1959" t="s">
        <v>337</v>
      </c>
      <c r="AF159" s="1959" t="s">
        <v>338</v>
      </c>
      <c r="AG159" s="1959"/>
      <c r="AH159" s="1959" t="str">
        <f>IF($E$159=0,"",$E$159)</f>
        <v>Тариф на подключение (технологическое присоединение) к централизованной системе горячего водоснабжения</v>
      </c>
      <c r="AI159" s="1959" t="str">
        <f>IF($G$159=0,"",$G$159)</f>
        <v/>
      </c>
      <c r="AJ159" s="1959" t="str">
        <f>IF($J$159=0,"",$J$159)</f>
        <v/>
      </c>
      <c r="AK159" s="1959" t="str">
        <f>IF($K$159="нет","без дифференциации",IF($N$159=0,"",$N$159))</f>
        <v/>
      </c>
      <c r="AL159" s="1959" t="str">
        <f>IF($O$159="нет","без дифференциации",IF($R$159=0,"",$R$159))</f>
        <v/>
      </c>
      <c r="AM159" s="1959" t="str">
        <f>IF($S$159="нет","без дифференциации",IF($V$159=0,"",$V$159))</f>
        <v/>
      </c>
      <c r="AN159" s="2464">
        <f>$I$159</f>
        <v>0</v>
      </c>
      <c r="AO159" s="1959" t="str">
        <f>$I$159&amp;"."&amp;$M$159</f>
        <v>.</v>
      </c>
      <c r="AP159" s="1958" t="str">
        <f>$I$159&amp;"."&amp;$M$159&amp;"."&amp;$Q$159</f>
        <v>..</v>
      </c>
      <c r="AQ159" s="1958" t="str">
        <f>$I$159&amp;"."&amp;$M$159&amp;"."&amp;$Q$159&amp;"."&amp;$U$159</f>
        <v>...</v>
      </c>
      <c r="AR159" s="2159">
        <v>0</v>
      </c>
    </row>
    <row s="63055" customFormat="1" customHeight="1" ht="17.25" hidden="1">
      <c r="A160" s="1013"/>
      <c r="C160" s="1012"/>
      <c r="D160" s="2827"/>
      <c r="E160" s="2835"/>
      <c r="F160" s="2838"/>
      <c r="G160" s="2835"/>
      <c r="H160" s="2841"/>
      <c r="I160" s="2843"/>
      <c r="J160" s="2845"/>
      <c r="K160" s="2830"/>
      <c r="L160" s="2830"/>
      <c r="M160" s="2830"/>
      <c r="N160" s="2832"/>
      <c r="O160" s="2830"/>
      <c r="P160" s="2830"/>
      <c r="Q160" s="2830"/>
      <c r="R160" s="2833"/>
      <c r="S160" s="2830"/>
      <c r="T160" s="2640"/>
      <c r="U160" s="2640"/>
      <c r="V160" s="2640"/>
      <c r="W160" s="2641"/>
      <c r="X160" s="1958"/>
      <c r="Y160" s="1958"/>
      <c r="Z160" s="1958"/>
      <c r="AA160" s="1958"/>
      <c r="AB160" s="1958"/>
      <c r="AC160" s="1958"/>
      <c r="AD160" s="1958"/>
      <c r="AE160" s="1958"/>
      <c r="AF160" s="1958"/>
      <c r="AG160" s="1958"/>
      <c r="AH160" s="1958"/>
      <c r="AI160" s="1958"/>
      <c r="AJ160" s="1958"/>
      <c r="AK160" s="1958"/>
      <c r="AL160" s="1958"/>
      <c r="AM160" s="1958"/>
      <c r="AN160" s="1958"/>
      <c r="AO160" s="1958"/>
      <c r="AP160" s="1958"/>
      <c r="AQ160" s="1958"/>
      <c r="AR160" s="2159">
        <v>0</v>
      </c>
    </row>
    <row s="63055" customFormat="1" customHeight="1" ht="17.25" hidden="1">
      <c r="A161" s="1013"/>
      <c r="C161" s="1012"/>
      <c r="D161" s="2828"/>
      <c r="E161" s="2836"/>
      <c r="F161" s="2838"/>
      <c r="G161" s="2836"/>
      <c r="H161" s="2841"/>
      <c r="I161" s="2843"/>
      <c r="J161" s="2846"/>
      <c r="K161" s="2830"/>
      <c r="L161" s="2830"/>
      <c r="M161" s="2830"/>
      <c r="N161" s="2833"/>
      <c r="O161" s="2830"/>
      <c r="P161" s="2636"/>
      <c r="Q161" s="2640"/>
      <c r="R161" s="2640"/>
      <c r="S161" s="1021"/>
      <c r="T161" s="1021"/>
      <c r="U161" s="1021"/>
      <c r="V161" s="1021"/>
      <c r="W161" s="2641"/>
      <c r="X161" s="1958"/>
      <c r="Y161" s="1958"/>
      <c r="Z161" s="1958"/>
      <c r="AA161" s="1958"/>
      <c r="AB161" s="1958"/>
      <c r="AC161" s="1958"/>
      <c r="AD161" s="1958"/>
      <c r="AE161" s="1958"/>
      <c r="AF161" s="1958"/>
      <c r="AG161" s="1958"/>
      <c r="AH161" s="1958"/>
      <c r="AI161" s="1958"/>
      <c r="AJ161" s="1958"/>
      <c r="AK161" s="1958"/>
      <c r="AL161" s="1958"/>
      <c r="AM161" s="1958"/>
      <c r="AN161" s="1958"/>
      <c r="AO161" s="1958"/>
      <c r="AP161" s="1958"/>
      <c r="AQ161" s="1958"/>
      <c r="AR161" s="2159">
        <v>0</v>
      </c>
    </row>
    <row s="63055" customFormat="1" customHeight="1" ht="17.25" hidden="1">
      <c r="A162" s="1013"/>
      <c r="C162" s="1012"/>
      <c r="D162" s="2828"/>
      <c r="E162" s="2836"/>
      <c r="F162" s="2838"/>
      <c r="G162" s="2836"/>
      <c r="H162" s="2841"/>
      <c r="I162" s="2843"/>
      <c r="J162" s="2846"/>
      <c r="K162" s="2830"/>
      <c r="L162" s="2640"/>
      <c r="M162" s="2640"/>
      <c r="N162" s="2640"/>
      <c r="O162" s="2640"/>
      <c r="P162" s="2640"/>
      <c r="Q162" s="2640"/>
      <c r="R162" s="2640"/>
      <c r="S162" s="1021"/>
      <c r="T162" s="1021"/>
      <c r="U162" s="1021"/>
      <c r="V162" s="1021"/>
      <c r="W162" s="2641"/>
      <c r="X162" s="1958"/>
      <c r="Y162" s="1958"/>
      <c r="Z162" s="1958"/>
      <c r="AA162" s="1958"/>
      <c r="AB162" s="1958"/>
      <c r="AC162" s="1958"/>
      <c r="AD162" s="1958"/>
      <c r="AE162" s="1958"/>
      <c r="AF162" s="1958"/>
      <c r="AG162" s="1958"/>
      <c r="AH162" s="1958"/>
      <c r="AI162" s="1958"/>
      <c r="AJ162" s="1958"/>
      <c r="AK162" s="1958"/>
      <c r="AL162" s="1958"/>
      <c r="AM162" s="1958"/>
      <c r="AN162" s="1958"/>
      <c r="AO162" s="1958"/>
      <c r="AP162" s="1958"/>
      <c r="AQ162" s="1958"/>
      <c r="AR162" s="2159">
        <v>0</v>
      </c>
    </row>
    <row s="63055" customFormat="1" customHeight="1" ht="17.25" hidden="1">
      <c r="A163" s="1013"/>
      <c r="C163" s="1012"/>
      <c r="D163" s="2828"/>
      <c r="E163" s="2836"/>
      <c r="F163" s="2839"/>
      <c r="G163" s="2836"/>
      <c r="H163" s="1991"/>
      <c r="I163" s="2638"/>
      <c r="J163" s="2638"/>
      <c r="K163" s="2638"/>
      <c r="L163" s="2638"/>
      <c r="M163" s="2638"/>
      <c r="N163" s="2638"/>
      <c r="O163" s="2638"/>
      <c r="P163" s="2638"/>
      <c r="Q163" s="2638"/>
      <c r="R163" s="2638"/>
      <c r="S163" s="1993"/>
      <c r="T163" s="1993"/>
      <c r="U163" s="1993"/>
      <c r="V163" s="1993"/>
      <c r="W163" s="2639"/>
      <c r="X163" s="1958"/>
      <c r="Y163" s="1958"/>
      <c r="Z163" s="1958"/>
      <c r="AA163" s="1958"/>
      <c r="AB163" s="1958"/>
      <c r="AC163" s="1958"/>
      <c r="AD163" s="1958"/>
      <c r="AE163" s="1958"/>
      <c r="AF163" s="1958"/>
      <c r="AG163" s="1958"/>
      <c r="AH163" s="1958"/>
      <c r="AI163" s="1958"/>
      <c r="AJ163" s="1958"/>
      <c r="AK163" s="1958"/>
      <c r="AL163" s="1958"/>
      <c r="AM163" s="1958"/>
      <c r="AN163" s="1958"/>
      <c r="AO163" s="1958"/>
      <c r="AP163" s="1958"/>
      <c r="AQ163" s="1958"/>
      <c r="AR163" s="2159">
        <v>0</v>
      </c>
    </row>
    <row s="63055" customFormat="1" customHeight="1" ht="11.25" hidden="1">
      <c r="A164" s="969"/>
      <c r="B164" s="969"/>
      <c r="Y164" s="1951"/>
      <c r="Z164" s="1951"/>
      <c r="AA164" s="1951"/>
      <c r="AB164" s="1951"/>
      <c r="AC164" s="1951"/>
      <c r="AD164" s="1951"/>
      <c r="AE164" s="1951"/>
      <c r="AF164" s="1951"/>
      <c r="AG164" s="1951"/>
      <c r="AH164" s="1951"/>
      <c r="AI164" s="1951"/>
      <c r="AJ164" s="1951"/>
      <c r="AK164" s="1951"/>
      <c r="AL164" s="1951"/>
      <c r="AM164" s="1951"/>
      <c r="AN164" s="1951"/>
      <c r="AO164" s="1951"/>
      <c r="AP164" s="1951"/>
      <c r="AQ164" s="1951"/>
      <c r="AR164" s="2159">
        <v>0</v>
      </c>
    </row>
    <row s="63055" customFormat="1" customHeight="1" ht="17.25" hidden="1">
      <c r="A165" s="1013"/>
      <c r="C165" s="901"/>
      <c r="D165" s="2827">
        <v>1</v>
      </c>
      <c r="E165" s="2835" t="s">
        <v>339</v>
      </c>
      <c r="F165" s="2837" t="s">
        <v>19</v>
      </c>
      <c r="G165" s="2835"/>
      <c r="H165" s="2840"/>
      <c r="I165" s="2842"/>
      <c r="J165" s="2844"/>
      <c r="K165" s="2829"/>
      <c r="L165" s="2829"/>
      <c r="M165" s="2829"/>
      <c r="N165" s="2831"/>
      <c r="O165" s="2829"/>
      <c r="P165" s="2829"/>
      <c r="Q165" s="2829"/>
      <c r="R165" s="2834"/>
      <c r="S165" s="2829"/>
      <c r="T165" s="2162"/>
      <c r="U165" s="2162"/>
      <c r="V165" s="2164"/>
      <c r="W165" s="1988"/>
      <c r="Y165" s="1959"/>
      <c r="Z165" s="1959"/>
      <c r="AA165" s="1959"/>
      <c r="AB165" s="1959"/>
      <c r="AC165" s="1959" t="s">
        <v>340</v>
      </c>
      <c r="AD165" s="1959" t="s">
        <v>341</v>
      </c>
      <c r="AE165" s="1959" t="s">
        <v>342</v>
      </c>
      <c r="AF165" s="1959" t="s">
        <v>343</v>
      </c>
      <c r="AG165" s="1959"/>
      <c r="AH165" s="1959" t="str">
        <f>IF($E$165=0,"",$E$165)</f>
        <v>Тариф на водоотведение</v>
      </c>
      <c r="AI165" s="1959" t="str">
        <f>IF($G$165=0,"",$G$165)</f>
        <v/>
      </c>
      <c r="AJ165" s="1959" t="str">
        <f>IF($J$165=0,"",$J$165)</f>
        <v/>
      </c>
      <c r="AK165" s="1959" t="str">
        <f>IF($K$165="нет","без дифференциации",IF($N$165=0,"",$N$165))</f>
        <v/>
      </c>
      <c r="AL165" s="1959" t="str">
        <f>IF($O$165="нет","без дифференциации",IF($R$165=0,"",$R$165))</f>
        <v/>
      </c>
      <c r="AM165" s="1959" t="str">
        <f>IF($S$165="нет","без дифференциации",IF($V$165=0,"",$V$165))</f>
        <v/>
      </c>
      <c r="AN165" s="1959">
        <f>$I$165</f>
        <v>0</v>
      </c>
      <c r="AO165" s="1959" t="str">
        <f>$I$165&amp;"."&amp;$M$165</f>
        <v>.</v>
      </c>
      <c r="AP165" s="1959" t="str">
        <f>$I$165&amp;"."&amp;$M$165&amp;"."&amp;$Q$165</f>
        <v>..</v>
      </c>
      <c r="AQ165" s="1959" t="str">
        <f>$I$165&amp;"."&amp;$M$165&amp;"."&amp;$Q$165&amp;"."&amp;$U$165</f>
        <v>...</v>
      </c>
      <c r="AR165" s="2159">
        <v>0</v>
      </c>
    </row>
    <row s="63055" customFormat="1" customHeight="1" ht="17.25" hidden="1">
      <c r="A166" s="1013"/>
      <c r="C166" s="1012"/>
      <c r="D166" s="2827"/>
      <c r="E166" s="2835"/>
      <c r="F166" s="2838"/>
      <c r="G166" s="2835"/>
      <c r="H166" s="2841"/>
      <c r="I166" s="2843"/>
      <c r="J166" s="2845"/>
      <c r="K166" s="2830"/>
      <c r="L166" s="2830"/>
      <c r="M166" s="2830"/>
      <c r="N166" s="2832"/>
      <c r="O166" s="2830"/>
      <c r="P166" s="2830"/>
      <c r="Q166" s="2830"/>
      <c r="R166" s="2833"/>
      <c r="S166" s="2830"/>
      <c r="T166" s="1989"/>
      <c r="U166" s="1989"/>
      <c r="V166" s="1989"/>
      <c r="W166" s="1990"/>
      <c r="Y166" s="1951"/>
      <c r="Z166" s="1951"/>
      <c r="AA166" s="1951"/>
      <c r="AB166" s="1951"/>
      <c r="AC166" s="1951"/>
      <c r="AD166" s="1951"/>
      <c r="AE166" s="1951"/>
      <c r="AF166" s="1951"/>
      <c r="AG166" s="1951"/>
      <c r="AH166" s="1951"/>
      <c r="AI166" s="1951"/>
      <c r="AJ166" s="1951"/>
      <c r="AK166" s="1951"/>
      <c r="AL166" s="1951"/>
      <c r="AM166" s="1951"/>
      <c r="AN166" s="1951"/>
      <c r="AO166" s="1951"/>
      <c r="AP166" s="1951"/>
      <c r="AQ166" s="1951"/>
      <c r="AR166" s="2159">
        <v>0</v>
      </c>
    </row>
    <row s="63055" customFormat="1" customHeight="1" ht="17.25" hidden="1">
      <c r="A167" s="1013"/>
      <c r="C167" s="901"/>
      <c r="D167" s="2827"/>
      <c r="E167" s="2835"/>
      <c r="F167" s="2838"/>
      <c r="G167" s="2835"/>
      <c r="H167" s="2841"/>
      <c r="I167" s="2843"/>
      <c r="J167" s="2846"/>
      <c r="K167" s="2830"/>
      <c r="L167" s="2830"/>
      <c r="M167" s="2830"/>
      <c r="N167" s="2833"/>
      <c r="O167" s="2830"/>
      <c r="P167" s="2163"/>
      <c r="Q167" s="1989"/>
      <c r="R167" s="1989"/>
      <c r="S167" s="1021"/>
      <c r="T167" s="1021"/>
      <c r="U167" s="1021"/>
      <c r="V167" s="1021"/>
      <c r="W167" s="1990"/>
      <c r="Y167" s="1959"/>
      <c r="Z167" s="1959"/>
      <c r="AA167" s="1959"/>
      <c r="AB167" s="1959"/>
      <c r="AC167" s="1959"/>
      <c r="AD167" s="1959"/>
      <c r="AE167" s="1959"/>
      <c r="AF167" s="1959"/>
      <c r="AG167" s="1959"/>
      <c r="AH167" s="1959"/>
      <c r="AI167" s="1959"/>
      <c r="AJ167" s="1959"/>
      <c r="AK167" s="1959"/>
      <c r="AL167" s="1959"/>
      <c r="AM167" s="1959"/>
      <c r="AN167" s="1959"/>
      <c r="AO167" s="1959"/>
      <c r="AP167" s="1959"/>
      <c r="AQ167" s="1959"/>
      <c r="AR167" s="2159">
        <v>0</v>
      </c>
    </row>
    <row s="63055" customFormat="1" customHeight="1" ht="17.25" hidden="1">
      <c r="A168" s="1013"/>
      <c r="C168" s="1012"/>
      <c r="D168" s="2827"/>
      <c r="E168" s="2835"/>
      <c r="F168" s="2838"/>
      <c r="G168" s="2835"/>
      <c r="H168" s="2841"/>
      <c r="I168" s="2843"/>
      <c r="J168" s="2846"/>
      <c r="K168" s="2830"/>
      <c r="L168" s="1989"/>
      <c r="M168" s="1989"/>
      <c r="N168" s="1989"/>
      <c r="O168" s="1989"/>
      <c r="P168" s="1989"/>
      <c r="Q168" s="1989"/>
      <c r="R168" s="1989"/>
      <c r="S168" s="1021"/>
      <c r="T168" s="1021"/>
      <c r="U168" s="1021"/>
      <c r="V168" s="1021"/>
      <c r="W168" s="1990"/>
      <c r="Y168" s="1951"/>
      <c r="Z168" s="1951"/>
      <c r="AA168" s="1951"/>
      <c r="AB168" s="1951"/>
      <c r="AC168" s="1951"/>
      <c r="AD168" s="1951"/>
      <c r="AE168" s="1951"/>
      <c r="AF168" s="1951"/>
      <c r="AG168" s="1951"/>
      <c r="AH168" s="1951"/>
      <c r="AI168" s="1951"/>
      <c r="AJ168" s="1951"/>
      <c r="AK168" s="1951"/>
      <c r="AL168" s="1951"/>
      <c r="AM168" s="1951"/>
      <c r="AN168" s="1951"/>
      <c r="AO168" s="1951"/>
      <c r="AP168" s="1951"/>
      <c r="AQ168" s="1951"/>
      <c r="AR168" s="2159">
        <v>0</v>
      </c>
    </row>
    <row s="63055" customFormat="1" customHeight="1" ht="17.25" hidden="1">
      <c r="A169" s="1013"/>
      <c r="C169" s="1012"/>
      <c r="D169" s="2828"/>
      <c r="E169" s="2836"/>
      <c r="F169" s="2839"/>
      <c r="G169" s="2836"/>
      <c r="H169" s="1991"/>
      <c r="I169" s="1992"/>
      <c r="J169" s="1992"/>
      <c r="K169" s="1992"/>
      <c r="L169" s="1992"/>
      <c r="M169" s="1992"/>
      <c r="N169" s="1992"/>
      <c r="O169" s="1992"/>
      <c r="P169" s="1992"/>
      <c r="Q169" s="1992"/>
      <c r="R169" s="1992"/>
      <c r="S169" s="1993"/>
      <c r="T169" s="1993"/>
      <c r="U169" s="1993"/>
      <c r="V169" s="1993"/>
      <c r="W169" s="1994"/>
      <c r="Y169" s="1951"/>
      <c r="Z169" s="1951"/>
      <c r="AA169" s="1951"/>
      <c r="AB169" s="1951"/>
      <c r="AC169" s="1951"/>
      <c r="AD169" s="1951"/>
      <c r="AE169" s="1951"/>
      <c r="AF169" s="1951"/>
      <c r="AG169" s="1951"/>
      <c r="AH169" s="1951"/>
      <c r="AI169" s="1951"/>
      <c r="AJ169" s="1951"/>
      <c r="AK169" s="1951"/>
      <c r="AL169" s="1951"/>
      <c r="AM169" s="1951"/>
      <c r="AN169" s="1951"/>
      <c r="AO169" s="1951"/>
      <c r="AP169" s="1951"/>
      <c r="AQ169" s="1951"/>
      <c r="AR169" s="2159">
        <v>0</v>
      </c>
    </row>
    <row s="63055" customFormat="1" customHeight="1" ht="17.25" hidden="1">
      <c r="A170" s="1013"/>
      <c r="C170" s="901"/>
      <c r="D170" s="2827">
        <v>2</v>
      </c>
      <c r="E170" s="2835" t="s">
        <v>344</v>
      </c>
      <c r="F170" s="2837" t="s">
        <v>19</v>
      </c>
      <c r="G170" s="2835"/>
      <c r="H170" s="2840"/>
      <c r="I170" s="2842"/>
      <c r="J170" s="2844"/>
      <c r="K170" s="2829"/>
      <c r="L170" s="2829"/>
      <c r="M170" s="2829"/>
      <c r="N170" s="2831"/>
      <c r="O170" s="2829"/>
      <c r="P170" s="2829"/>
      <c r="Q170" s="2829"/>
      <c r="R170" s="2834"/>
      <c r="S170" s="2829"/>
      <c r="T170" s="2162"/>
      <c r="U170" s="2162"/>
      <c r="V170" s="2164"/>
      <c r="W170" s="1988"/>
      <c r="X170" s="1959"/>
      <c r="Y170" s="1959"/>
      <c r="Z170" s="1959"/>
      <c r="AA170" s="1959"/>
      <c r="AB170" s="1959"/>
      <c r="AC170" s="1959" t="s">
        <v>345</v>
      </c>
      <c r="AD170" s="1959" t="s">
        <v>346</v>
      </c>
      <c r="AE170" s="1959" t="s">
        <v>347</v>
      </c>
      <c r="AF170" s="1959" t="s">
        <v>348</v>
      </c>
      <c r="AG170" s="1959"/>
      <c r="AH170" s="1959" t="str">
        <f>IF($E$170=0,"",$E$170)</f>
        <v>Тариф на транспортировку сточных вод</v>
      </c>
      <c r="AI170" s="1959" t="str">
        <f>IF($G$170=0,"",$G$170)</f>
        <v/>
      </c>
      <c r="AJ170" s="1959" t="str">
        <f>IF($J$170=0,"",$J$170)</f>
        <v/>
      </c>
      <c r="AK170" s="1959" t="str">
        <f>IF($K$170="нет","без дифференциации",IF($N$170=0,"",$N$170))</f>
        <v/>
      </c>
      <c r="AL170" s="1959" t="str">
        <f>IF($O$170="нет","без дифференциации",IF($R$170=0,"",$R$170))</f>
        <v/>
      </c>
      <c r="AM170" s="1959" t="str">
        <f>IF($S$170="нет","без дифференциации",IF($V$170=0,"",$V$170))</f>
        <v/>
      </c>
      <c r="AN170" s="2464">
        <f>$I$170</f>
        <v>0</v>
      </c>
      <c r="AO170" s="1959" t="str">
        <f>$I$170&amp;"."&amp;$M$170</f>
        <v>.</v>
      </c>
      <c r="AP170" s="1951" t="str">
        <f>$I$170&amp;"."&amp;$M$170&amp;"."&amp;$Q$170</f>
        <v>..</v>
      </c>
      <c r="AQ170" s="1951" t="str">
        <f>$I$170&amp;"."&amp;$M$170&amp;"."&amp;$Q$170&amp;"."&amp;$U$170</f>
        <v>...</v>
      </c>
      <c r="AR170" s="2159">
        <v>0</v>
      </c>
    </row>
    <row s="63055" customFormat="1" customHeight="1" ht="17.25" hidden="1">
      <c r="A171" s="1013"/>
      <c r="C171" s="1012"/>
      <c r="D171" s="2827"/>
      <c r="E171" s="2835"/>
      <c r="F171" s="2838"/>
      <c r="G171" s="2835"/>
      <c r="H171" s="2841"/>
      <c r="I171" s="2843"/>
      <c r="J171" s="2845"/>
      <c r="K171" s="2830"/>
      <c r="L171" s="2830"/>
      <c r="M171" s="2830"/>
      <c r="N171" s="2832"/>
      <c r="O171" s="2830"/>
      <c r="P171" s="2830"/>
      <c r="Q171" s="2830"/>
      <c r="R171" s="2833"/>
      <c r="S171" s="2830"/>
      <c r="T171" s="1989"/>
      <c r="U171" s="1989"/>
      <c r="V171" s="1989"/>
      <c r="W171" s="1990"/>
      <c r="X171" s="1951"/>
      <c r="Y171" s="1951"/>
      <c r="Z171" s="1951"/>
      <c r="AA171" s="1951"/>
      <c r="AB171" s="1951"/>
      <c r="AC171" s="1951"/>
      <c r="AD171" s="1951"/>
      <c r="AE171" s="1951"/>
      <c r="AF171" s="1951"/>
      <c r="AG171" s="1951"/>
      <c r="AH171" s="1951"/>
      <c r="AI171" s="1951"/>
      <c r="AJ171" s="1951"/>
      <c r="AK171" s="1951"/>
      <c r="AL171" s="1951"/>
      <c r="AM171" s="1951"/>
      <c r="AN171" s="1951"/>
      <c r="AO171" s="1951"/>
      <c r="AP171" s="1951"/>
      <c r="AQ171" s="1951"/>
      <c r="AR171" s="2159">
        <v>0</v>
      </c>
    </row>
    <row s="63055" customFormat="1" customHeight="1" ht="17.25" hidden="1">
      <c r="A172" s="1013"/>
      <c r="C172" s="1012"/>
      <c r="D172" s="2828"/>
      <c r="E172" s="2836"/>
      <c r="F172" s="2838"/>
      <c r="G172" s="2836"/>
      <c r="H172" s="2841"/>
      <c r="I172" s="2843"/>
      <c r="J172" s="2846"/>
      <c r="K172" s="2830"/>
      <c r="L172" s="2830"/>
      <c r="M172" s="2830"/>
      <c r="N172" s="2833"/>
      <c r="O172" s="2830"/>
      <c r="P172" s="2163"/>
      <c r="Q172" s="1989"/>
      <c r="R172" s="1989"/>
      <c r="S172" s="1021"/>
      <c r="T172" s="1021"/>
      <c r="U172" s="1021"/>
      <c r="V172" s="1021"/>
      <c r="W172" s="1990"/>
      <c r="X172" s="1951"/>
      <c r="Y172" s="1951"/>
      <c r="Z172" s="1951"/>
      <c r="AA172" s="1951"/>
      <c r="AB172" s="1951"/>
      <c r="AC172" s="1951"/>
      <c r="AD172" s="1951"/>
      <c r="AE172" s="1951"/>
      <c r="AF172" s="1951"/>
      <c r="AG172" s="1951"/>
      <c r="AH172" s="1951"/>
      <c r="AI172" s="1951"/>
      <c r="AJ172" s="1951"/>
      <c r="AK172" s="1951"/>
      <c r="AL172" s="1951"/>
      <c r="AM172" s="1951"/>
      <c r="AN172" s="1951"/>
      <c r="AO172" s="1951"/>
      <c r="AP172" s="1951"/>
      <c r="AQ172" s="1951"/>
      <c r="AR172" s="2159">
        <v>0</v>
      </c>
    </row>
    <row s="63055" customFormat="1" customHeight="1" ht="17.25" hidden="1">
      <c r="A173" s="1013"/>
      <c r="C173" s="1012"/>
      <c r="D173" s="2828"/>
      <c r="E173" s="2836"/>
      <c r="F173" s="2838"/>
      <c r="G173" s="2836"/>
      <c r="H173" s="2841"/>
      <c r="I173" s="2843"/>
      <c r="J173" s="2846"/>
      <c r="K173" s="2830"/>
      <c r="L173" s="1989"/>
      <c r="M173" s="1989"/>
      <c r="N173" s="1989"/>
      <c r="O173" s="1989"/>
      <c r="P173" s="1989"/>
      <c r="Q173" s="1989"/>
      <c r="R173" s="1989"/>
      <c r="S173" s="1021"/>
      <c r="T173" s="1021"/>
      <c r="U173" s="1021"/>
      <c r="V173" s="1021"/>
      <c r="W173" s="1990"/>
      <c r="X173" s="1951"/>
      <c r="Y173" s="1951"/>
      <c r="Z173" s="1951"/>
      <c r="AA173" s="1951"/>
      <c r="AB173" s="1951"/>
      <c r="AC173" s="1951"/>
      <c r="AD173" s="1951"/>
      <c r="AE173" s="1951"/>
      <c r="AF173" s="1951"/>
      <c r="AG173" s="1951"/>
      <c r="AH173" s="1951"/>
      <c r="AI173" s="1951"/>
      <c r="AJ173" s="1951"/>
      <c r="AK173" s="1951"/>
      <c r="AL173" s="1951"/>
      <c r="AM173" s="1951"/>
      <c r="AN173" s="1951"/>
      <c r="AO173" s="1951"/>
      <c r="AP173" s="1951"/>
      <c r="AQ173" s="1951"/>
      <c r="AR173" s="2159">
        <v>0</v>
      </c>
    </row>
    <row s="63055" customFormat="1" customHeight="1" ht="17.25" hidden="1">
      <c r="A174" s="1013"/>
      <c r="C174" s="1012"/>
      <c r="D174" s="2828"/>
      <c r="E174" s="2836"/>
      <c r="F174" s="2839"/>
      <c r="G174" s="2836"/>
      <c r="H174" s="1991"/>
      <c r="I174" s="1992"/>
      <c r="J174" s="1992"/>
      <c r="K174" s="1992"/>
      <c r="L174" s="1992"/>
      <c r="M174" s="1992"/>
      <c r="N174" s="1992"/>
      <c r="O174" s="1992"/>
      <c r="P174" s="1992"/>
      <c r="Q174" s="1992"/>
      <c r="R174" s="1992"/>
      <c r="S174" s="1993"/>
      <c r="T174" s="1993"/>
      <c r="U174" s="1993"/>
      <c r="V174" s="1993"/>
      <c r="W174" s="1994"/>
      <c r="X174" s="1951"/>
      <c r="Y174" s="1951"/>
      <c r="Z174" s="1951"/>
      <c r="AA174" s="1951"/>
      <c r="AB174" s="1951"/>
      <c r="AC174" s="1951"/>
      <c r="AD174" s="1951"/>
      <c r="AE174" s="1951"/>
      <c r="AF174" s="1951"/>
      <c r="AG174" s="1951"/>
      <c r="AH174" s="1951"/>
      <c r="AI174" s="1951"/>
      <c r="AJ174" s="1951"/>
      <c r="AK174" s="1951"/>
      <c r="AL174" s="1951"/>
      <c r="AM174" s="1951"/>
      <c r="AN174" s="1951"/>
      <c r="AO174" s="1951"/>
      <c r="AP174" s="1951"/>
      <c r="AQ174" s="1951"/>
      <c r="AR174" s="2159">
        <v>0</v>
      </c>
    </row>
    <row s="63055" customFormat="1" customHeight="1" ht="17.25" hidden="1">
      <c r="A175" s="1013"/>
      <c r="C175" s="901"/>
      <c r="D175" s="2827">
        <v>3</v>
      </c>
      <c r="E175" s="2835" t="s">
        <v>349</v>
      </c>
      <c r="F175" s="2837" t="s">
        <v>19</v>
      </c>
      <c r="G175" s="2835"/>
      <c r="H175" s="2840"/>
      <c r="I175" s="2842"/>
      <c r="J175" s="2844"/>
      <c r="K175" s="2829"/>
      <c r="L175" s="2829"/>
      <c r="M175" s="2829"/>
      <c r="N175" s="2831"/>
      <c r="O175" s="2829"/>
      <c r="P175" s="2829"/>
      <c r="Q175" s="2829"/>
      <c r="R175" s="2834"/>
      <c r="S175" s="2829"/>
      <c r="T175" s="2635"/>
      <c r="U175" s="2635"/>
      <c r="V175" s="2637"/>
      <c r="W175" s="1988"/>
      <c r="X175" s="1959"/>
      <c r="Y175" s="1959"/>
      <c r="Z175" s="1959"/>
      <c r="AA175" s="1959"/>
      <c r="AB175" s="1959"/>
      <c r="AC175" s="1959" t="s">
        <v>350</v>
      </c>
      <c r="AD175" s="1959" t="s">
        <v>351</v>
      </c>
      <c r="AE175" s="1959" t="s">
        <v>352</v>
      </c>
      <c r="AF175" s="1959" t="s">
        <v>353</v>
      </c>
      <c r="AG175" s="1959"/>
      <c r="AH175" s="1959" t="str">
        <f>IF($E$175=0,"",$E$175)</f>
        <v>Тариф на подключение (технологическое присоединение) к централизованной системе водоотведения</v>
      </c>
      <c r="AI175" s="1959" t="str">
        <f>IF($G$175=0,"",$G$175)</f>
        <v/>
      </c>
      <c r="AJ175" s="1959" t="str">
        <f>IF($J$175=0,"",$J$175)</f>
        <v/>
      </c>
      <c r="AK175" s="1959" t="str">
        <f>IF($K$175="нет","без дифференциации",IF($N$175=0,"",$N$175))</f>
        <v/>
      </c>
      <c r="AL175" s="1959" t="str">
        <f>IF($O$175="нет","без дифференциации",IF($R$175=0,"",$R$175))</f>
        <v/>
      </c>
      <c r="AM175" s="1959" t="str">
        <f>IF($S$175="нет","без дифференциации",IF($V$175=0,"",$V$175))</f>
        <v/>
      </c>
      <c r="AN175" s="2464">
        <f>$I$175</f>
        <v>0</v>
      </c>
      <c r="AO175" s="1959" t="str">
        <f>$I$175&amp;"."&amp;$M$175</f>
        <v>.</v>
      </c>
      <c r="AP175" s="1958" t="str">
        <f>$I$175&amp;"."&amp;$M$175&amp;"."&amp;$Q$175</f>
        <v>..</v>
      </c>
      <c r="AQ175" s="1958" t="str">
        <f>$I$175&amp;"."&amp;$M$175&amp;"."&amp;$Q$175&amp;"."&amp;$U$175</f>
        <v>...</v>
      </c>
      <c r="AR175" s="2159">
        <v>0</v>
      </c>
    </row>
    <row s="63055" customFormat="1" customHeight="1" ht="17.25" hidden="1">
      <c r="A176" s="1013"/>
      <c r="C176" s="1012"/>
      <c r="D176" s="2827"/>
      <c r="E176" s="2835"/>
      <c r="F176" s="2838"/>
      <c r="G176" s="2835"/>
      <c r="H176" s="2841"/>
      <c r="I176" s="2843"/>
      <c r="J176" s="2845"/>
      <c r="K176" s="2830"/>
      <c r="L176" s="2830"/>
      <c r="M176" s="2830"/>
      <c r="N176" s="2832"/>
      <c r="O176" s="2830"/>
      <c r="P176" s="2830"/>
      <c r="Q176" s="2830"/>
      <c r="R176" s="2833"/>
      <c r="S176" s="2830"/>
      <c r="T176" s="2640"/>
      <c r="U176" s="2640"/>
      <c r="V176" s="2640"/>
      <c r="W176" s="2641"/>
      <c r="X176" s="1958"/>
      <c r="Y176" s="1958"/>
      <c r="Z176" s="1958"/>
      <c r="AA176" s="1958"/>
      <c r="AB176" s="1958"/>
      <c r="AC176" s="1958"/>
      <c r="AD176" s="1958"/>
      <c r="AE176" s="1958"/>
      <c r="AF176" s="1958"/>
      <c r="AG176" s="1958"/>
      <c r="AH176" s="1958"/>
      <c r="AI176" s="1958"/>
      <c r="AJ176" s="1958"/>
      <c r="AK176" s="1958"/>
      <c r="AL176" s="1958"/>
      <c r="AM176" s="1958"/>
      <c r="AN176" s="1958"/>
      <c r="AO176" s="1958"/>
      <c r="AP176" s="1958"/>
      <c r="AQ176" s="1958"/>
      <c r="AR176" s="2159">
        <v>0</v>
      </c>
    </row>
    <row s="63055" customFormat="1" customHeight="1" ht="17.25" hidden="1">
      <c r="A177" s="1013"/>
      <c r="C177" s="1012"/>
      <c r="D177" s="2828"/>
      <c r="E177" s="2836"/>
      <c r="F177" s="2838"/>
      <c r="G177" s="2836"/>
      <c r="H177" s="2841"/>
      <c r="I177" s="2843"/>
      <c r="J177" s="2846"/>
      <c r="K177" s="2830"/>
      <c r="L177" s="2830"/>
      <c r="M177" s="2830"/>
      <c r="N177" s="2833"/>
      <c r="O177" s="2830"/>
      <c r="P177" s="2636"/>
      <c r="Q177" s="2640"/>
      <c r="R177" s="2640"/>
      <c r="S177" s="1021"/>
      <c r="T177" s="1021"/>
      <c r="U177" s="1021"/>
      <c r="V177" s="1021"/>
      <c r="W177" s="2641"/>
      <c r="X177" s="1958"/>
      <c r="Y177" s="1958"/>
      <c r="Z177" s="1958"/>
      <c r="AA177" s="1958"/>
      <c r="AB177" s="1958"/>
      <c r="AC177" s="1958"/>
      <c r="AD177" s="1958"/>
      <c r="AE177" s="1958"/>
      <c r="AF177" s="1958"/>
      <c r="AG177" s="1958"/>
      <c r="AH177" s="1958"/>
      <c r="AI177" s="1958"/>
      <c r="AJ177" s="1958"/>
      <c r="AK177" s="1958"/>
      <c r="AL177" s="1958"/>
      <c r="AM177" s="1958"/>
      <c r="AN177" s="1958"/>
      <c r="AO177" s="1958"/>
      <c r="AP177" s="1958"/>
      <c r="AQ177" s="1958"/>
      <c r="AR177" s="2159">
        <v>0</v>
      </c>
    </row>
    <row s="63055" customFormat="1" customHeight="1" ht="17.25" hidden="1">
      <c r="A178" s="1013"/>
      <c r="C178" s="1012"/>
      <c r="D178" s="2828"/>
      <c r="E178" s="2836"/>
      <c r="F178" s="2838"/>
      <c r="G178" s="2836"/>
      <c r="H178" s="2841"/>
      <c r="I178" s="2843"/>
      <c r="J178" s="2846"/>
      <c r="K178" s="2830"/>
      <c r="L178" s="2640"/>
      <c r="M178" s="2640"/>
      <c r="N178" s="2640"/>
      <c r="O178" s="2640"/>
      <c r="P178" s="2640"/>
      <c r="Q178" s="2640"/>
      <c r="R178" s="2640"/>
      <c r="S178" s="1021"/>
      <c r="T178" s="1021"/>
      <c r="U178" s="1021"/>
      <c r="V178" s="1021"/>
      <c r="W178" s="2641"/>
      <c r="X178" s="1958"/>
      <c r="Y178" s="1958"/>
      <c r="Z178" s="1958"/>
      <c r="AA178" s="1958"/>
      <c r="AB178" s="1958"/>
      <c r="AC178" s="1958"/>
      <c r="AD178" s="1958"/>
      <c r="AE178" s="1958"/>
      <c r="AF178" s="1958"/>
      <c r="AG178" s="1958"/>
      <c r="AH178" s="1958"/>
      <c r="AI178" s="1958"/>
      <c r="AJ178" s="1958"/>
      <c r="AK178" s="1958"/>
      <c r="AL178" s="1958"/>
      <c r="AM178" s="1958"/>
      <c r="AN178" s="1958"/>
      <c r="AO178" s="1958"/>
      <c r="AP178" s="1958"/>
      <c r="AQ178" s="1958"/>
      <c r="AR178" s="2159">
        <v>0</v>
      </c>
    </row>
    <row s="63055" customFormat="1" customHeight="1" ht="17.25" hidden="1">
      <c r="A179" s="1013"/>
      <c r="C179" s="1012"/>
      <c r="D179" s="2828"/>
      <c r="E179" s="2836"/>
      <c r="F179" s="2839"/>
      <c r="G179" s="2836"/>
      <c r="H179" s="1991"/>
      <c r="I179" s="2638"/>
      <c r="J179" s="2638"/>
      <c r="K179" s="2638"/>
      <c r="L179" s="2638"/>
      <c r="M179" s="2638"/>
      <c r="N179" s="2638"/>
      <c r="O179" s="2638"/>
      <c r="P179" s="2638"/>
      <c r="Q179" s="2638"/>
      <c r="R179" s="2638"/>
      <c r="S179" s="1993"/>
      <c r="T179" s="1993"/>
      <c r="U179" s="1993"/>
      <c r="V179" s="1993"/>
      <c r="W179" s="2639"/>
      <c r="X179" s="1958"/>
      <c r="Y179" s="1958"/>
      <c r="Z179" s="1958"/>
      <c r="AA179" s="1958"/>
      <c r="AB179" s="1958"/>
      <c r="AC179" s="1958"/>
      <c r="AD179" s="1958"/>
      <c r="AE179" s="1958"/>
      <c r="AF179" s="1958"/>
      <c r="AG179" s="1958"/>
      <c r="AH179" s="1958"/>
      <c r="AI179" s="1958"/>
      <c r="AJ179" s="1958"/>
      <c r="AK179" s="1958"/>
      <c r="AL179" s="1958"/>
      <c r="AM179" s="1958"/>
      <c r="AN179" s="1958"/>
      <c r="AO179" s="1958"/>
      <c r="AP179" s="1958"/>
      <c r="AQ179" s="1958"/>
      <c r="AR179" s="2159">
        <v>0</v>
      </c>
    </row>
    <row customHeight="1" ht="11.549999999999999">
      <c r="AR180" s="796">
        <v>11</v>
      </c>
    </row>
    <row customHeight="1" ht="11.549999999999999">
      <c r="AR181" s="796">
        <v>11</v>
      </c>
    </row>
    <row customHeight="1" ht="11.549999999999999">
      <c r="AR182" s="796">
        <v>11</v>
      </c>
    </row>
    <row customHeight="1" ht="11.549999999999999">
      <c r="E183" s="2042"/>
      <c r="AR183" s="796">
        <v>11</v>
      </c>
    </row>
    <row customHeight="1" ht="11.549999999999999">
      <c r="E184" s="2042"/>
      <c r="AR184" s="796">
        <v>11</v>
      </c>
    </row>
    <row customHeight="1" ht="11.549999999999999">
      <c r="E185" s="2042"/>
      <c r="AR185" s="796">
        <v>11</v>
      </c>
    </row>
    <row customHeight="1" ht="11.549999999999999">
      <c r="E186" s="2042"/>
      <c r="AR186" s="796">
        <v>11</v>
      </c>
    </row>
    <row customHeight="1" ht="11.549999999999999">
      <c r="E187" s="2042"/>
      <c r="AR187" s="796">
        <v>11</v>
      </c>
    </row>
    <row customHeight="1" ht="11.549999999999999">
      <c r="E188" s="2042"/>
      <c r="AR188" s="796">
        <v>11</v>
      </c>
    </row>
    <row customHeight="1" ht="11.549999999999999">
      <c r="E189" s="2042"/>
      <c r="AR189" s="796">
        <v>11</v>
      </c>
    </row>
    <row customHeight="1" ht="11.25" hidden="1">
      <c r="A190" s="845" t="s">
        <v>83</v>
      </c>
      <c r="B190" s="845">
        <v>0</v>
      </c>
      <c r="C190" s="796">
        <v>3</v>
      </c>
      <c r="D190" s="796">
        <v>6</v>
      </c>
      <c r="E190" s="796">
        <v>42</v>
      </c>
      <c r="F190" s="1975">
        <v>14</v>
      </c>
      <c r="G190" s="796">
        <v>42</v>
      </c>
      <c r="H190" s="796">
        <v>3</v>
      </c>
      <c r="I190" s="796">
        <v>5</v>
      </c>
      <c r="J190" s="796">
        <v>47</v>
      </c>
      <c r="K190" s="796">
        <v>3</v>
      </c>
      <c r="L190" s="796">
        <v>3</v>
      </c>
      <c r="M190" s="796">
        <v>5</v>
      </c>
      <c r="N190" s="796">
        <v>28</v>
      </c>
      <c r="O190" s="796">
        <v>3</v>
      </c>
      <c r="P190" s="796">
        <v>3</v>
      </c>
      <c r="Q190" s="796">
        <v>5</v>
      </c>
      <c r="R190" s="796">
        <v>34</v>
      </c>
      <c r="S190" s="974">
        <v>0</v>
      </c>
      <c r="T190" s="974">
        <v>0</v>
      </c>
      <c r="U190" s="974">
        <v>0</v>
      </c>
      <c r="V190" s="974">
        <v>0</v>
      </c>
      <c r="W190" s="796">
        <v>30</v>
      </c>
      <c r="X190" s="796">
        <v>3</v>
      </c>
      <c r="Y190" s="1951">
        <v>0</v>
      </c>
      <c r="Z190" s="1951">
        <v>0</v>
      </c>
      <c r="AA190" s="1951">
        <v>0</v>
      </c>
      <c r="AB190" s="1951">
        <v>0</v>
      </c>
      <c r="AC190" s="1951">
        <v>0</v>
      </c>
      <c r="AD190" s="1951">
        <v>0</v>
      </c>
      <c r="AE190" s="1951">
        <v>0</v>
      </c>
      <c r="AF190" s="1951">
        <v>0</v>
      </c>
      <c r="AG190" s="1951">
        <v>0</v>
      </c>
      <c r="AH190" s="1951">
        <v>0</v>
      </c>
      <c r="AI190" s="1951">
        <v>0</v>
      </c>
      <c r="AJ190" s="1951">
        <v>0</v>
      </c>
      <c r="AK190" s="1951">
        <v>0</v>
      </c>
      <c r="AL190" s="1951">
        <v>0</v>
      </c>
      <c r="AM190" s="1951">
        <v>0</v>
      </c>
      <c r="AN190" s="1951">
        <v>0</v>
      </c>
      <c r="AO190" s="1951">
        <v>0</v>
      </c>
      <c r="AP190" s="1951">
        <v>0</v>
      </c>
      <c r="AQ190" s="1951">
        <v>0</v>
      </c>
      <c r="AR190" s="796">
        <v>11</v>
      </c>
    </row>
  </sheetData>
  <sheetProtection sheet="1" formatColumns="0" formatRows="0" autoFilter="0" sort="1" insertRows="1" insertColumns="1" deleteRows="1" deleteColumns="1"/>
  <mergeCells count="511">
    <mergeCell ref="R51:R52"/>
    <mergeCell ref="S51:S52"/>
    <mergeCell ref="G51:G55"/>
    <mergeCell ref="H51:H54"/>
    <mergeCell ref="I51:I54"/>
    <mergeCell ref="J51:J54"/>
    <mergeCell ref="K51:K54"/>
    <mergeCell ref="L51:L53"/>
    <mergeCell ref="M51:M53"/>
    <mergeCell ref="N51:N53"/>
    <mergeCell ref="O51:O53"/>
    <mergeCell ref="M175:M177"/>
    <mergeCell ref="N175:N177"/>
    <mergeCell ref="O175:O177"/>
    <mergeCell ref="P175:P176"/>
    <mergeCell ref="Q175:Q176"/>
    <mergeCell ref="R175:R176"/>
    <mergeCell ref="S175:S176"/>
    <mergeCell ref="D175:D179"/>
    <mergeCell ref="E175:E179"/>
    <mergeCell ref="F175:F179"/>
    <mergeCell ref="G175:G179"/>
    <mergeCell ref="H175:H178"/>
    <mergeCell ref="I175:I178"/>
    <mergeCell ref="J175:J178"/>
    <mergeCell ref="K175:K178"/>
    <mergeCell ref="L175:L177"/>
    <mergeCell ref="N143:N145"/>
    <mergeCell ref="O143:O145"/>
    <mergeCell ref="P143:P144"/>
    <mergeCell ref="Q143:Q144"/>
    <mergeCell ref="R143:R144"/>
    <mergeCell ref="S143:S144"/>
    <mergeCell ref="D159:D163"/>
    <mergeCell ref="E159:E163"/>
    <mergeCell ref="F159:F163"/>
    <mergeCell ref="G159:G163"/>
    <mergeCell ref="H159:H162"/>
    <mergeCell ref="I159:I162"/>
    <mergeCell ref="J159:J162"/>
    <mergeCell ref="K159:K162"/>
    <mergeCell ref="L159:L161"/>
    <mergeCell ref="M159:M161"/>
    <mergeCell ref="N159:N161"/>
    <mergeCell ref="O159:O161"/>
    <mergeCell ref="P159:P160"/>
    <mergeCell ref="Q159:Q160"/>
    <mergeCell ref="R159:R160"/>
    <mergeCell ref="S159:S160"/>
    <mergeCell ref="D143:D147"/>
    <mergeCell ref="E143:E147"/>
    <mergeCell ref="F143:F147"/>
    <mergeCell ref="G143:G147"/>
    <mergeCell ref="H143:H146"/>
    <mergeCell ref="I143:I146"/>
    <mergeCell ref="J143:J146"/>
    <mergeCell ref="K143:K146"/>
    <mergeCell ref="L143:L145"/>
    <mergeCell ref="S170:S171"/>
    <mergeCell ref="D170:D174"/>
    <mergeCell ref="E170:E174"/>
    <mergeCell ref="F170:F174"/>
    <mergeCell ref="G170:G174"/>
    <mergeCell ref="H170:H173"/>
    <mergeCell ref="I170:I173"/>
    <mergeCell ref="J170:J173"/>
    <mergeCell ref="K170:K173"/>
    <mergeCell ref="L170:L172"/>
    <mergeCell ref="H165:H168"/>
    <mergeCell ref="I165:I168"/>
    <mergeCell ref="J165:J168"/>
    <mergeCell ref="K165:K168"/>
    <mergeCell ref="L165:L167"/>
    <mergeCell ref="M165:M167"/>
    <mergeCell ref="N165:N167"/>
    <mergeCell ref="M170:M172"/>
    <mergeCell ref="N170:N172"/>
    <mergeCell ref="O170:O172"/>
    <mergeCell ref="P165:P166"/>
    <mergeCell ref="Q165:Q166"/>
    <mergeCell ref="R165:R166"/>
    <mergeCell ref="P170:P171"/>
    <mergeCell ref="Q170:Q171"/>
    <mergeCell ref="R170:R171"/>
    <mergeCell ref="S165:S166"/>
    <mergeCell ref="D165:D169"/>
    <mergeCell ref="E165:E169"/>
    <mergeCell ref="F165:F169"/>
    <mergeCell ref="G165:G169"/>
    <mergeCell ref="M154:M156"/>
    <mergeCell ref="N154:N156"/>
    <mergeCell ref="O154:O156"/>
    <mergeCell ref="P154:P155"/>
    <mergeCell ref="Q154:Q155"/>
    <mergeCell ref="R154:R155"/>
    <mergeCell ref="S154:S155"/>
    <mergeCell ref="D154:D158"/>
    <mergeCell ref="E154:E158"/>
    <mergeCell ref="F154:F158"/>
    <mergeCell ref="G154:G158"/>
    <mergeCell ref="H154:H157"/>
    <mergeCell ref="I154:I157"/>
    <mergeCell ref="J154:J157"/>
    <mergeCell ref="K154:K157"/>
    <mergeCell ref="L154:L156"/>
    <mergeCell ref="O165:O167"/>
    <mergeCell ref="M92:M94"/>
    <mergeCell ref="N92:N94"/>
    <mergeCell ref="O92:O94"/>
    <mergeCell ref="N82:N84"/>
    <mergeCell ref="D149:D153"/>
    <mergeCell ref="E149:E153"/>
    <mergeCell ref="F149:F153"/>
    <mergeCell ref="G149:G153"/>
    <mergeCell ref="H149:H152"/>
    <mergeCell ref="I149:I152"/>
    <mergeCell ref="J149:J152"/>
    <mergeCell ref="K149:K152"/>
    <mergeCell ref="L149:L151"/>
    <mergeCell ref="P97:P98"/>
    <mergeCell ref="Q97:Q98"/>
    <mergeCell ref="R97:R98"/>
    <mergeCell ref="S97:S98"/>
    <mergeCell ref="P92:P93"/>
    <mergeCell ref="Q92:Q93"/>
    <mergeCell ref="R92:R93"/>
    <mergeCell ref="S92:S93"/>
    <mergeCell ref="M149:M151"/>
    <mergeCell ref="N149:N151"/>
    <mergeCell ref="O149:O151"/>
    <mergeCell ref="P149:P150"/>
    <mergeCell ref="Q149:Q150"/>
    <mergeCell ref="R149:R150"/>
    <mergeCell ref="S149:S150"/>
    <mergeCell ref="O97:O99"/>
    <mergeCell ref="E121:W121"/>
    <mergeCell ref="E113:W113"/>
    <mergeCell ref="E114:W114"/>
    <mergeCell ref="E115:W115"/>
    <mergeCell ref="E116:W116"/>
    <mergeCell ref="E117:W117"/>
    <mergeCell ref="L123:L125"/>
    <mergeCell ref="M123:M125"/>
    <mergeCell ref="E119:W119"/>
    <mergeCell ref="E120:W120"/>
    <mergeCell ref="K133:K136"/>
    <mergeCell ref="E87:E91"/>
    <mergeCell ref="F87:F91"/>
    <mergeCell ref="H87:H90"/>
    <mergeCell ref="G87:G91"/>
    <mergeCell ref="G69:G81"/>
    <mergeCell ref="S82:S83"/>
    <mergeCell ref="S87:S88"/>
    <mergeCell ref="E82:E86"/>
    <mergeCell ref="F82:F86"/>
    <mergeCell ref="H82:H85"/>
    <mergeCell ref="P82:P83"/>
    <mergeCell ref="Q82:Q83"/>
    <mergeCell ref="R82:R83"/>
    <mergeCell ref="D82:D86"/>
    <mergeCell ref="D92:D96"/>
    <mergeCell ref="E92:E96"/>
    <mergeCell ref="F92:F96"/>
    <mergeCell ref="G92:G96"/>
    <mergeCell ref="H92:H95"/>
    <mergeCell ref="I92:I95"/>
    <mergeCell ref="J92:J95"/>
    <mergeCell ref="K92:K95"/>
    <mergeCell ref="L92:L94"/>
    <mergeCell ref="D69:D81"/>
    <mergeCell ref="E69:E81"/>
    <mergeCell ref="F69:F81"/>
    <mergeCell ref="P87:P88"/>
    <mergeCell ref="O82:O84"/>
    <mergeCell ref="Q87:Q88"/>
    <mergeCell ref="R87:R88"/>
    <mergeCell ref="O87:O89"/>
    <mergeCell ref="D97:D101"/>
    <mergeCell ref="E97:E101"/>
    <mergeCell ref="F97:F101"/>
    <mergeCell ref="H97:H100"/>
    <mergeCell ref="N87:N89"/>
    <mergeCell ref="G82:G86"/>
    <mergeCell ref="K82:K85"/>
    <mergeCell ref="G97:G101"/>
    <mergeCell ref="K97:K100"/>
    <mergeCell ref="N97:N99"/>
    <mergeCell ref="I97:I100"/>
    <mergeCell ref="J97:J100"/>
    <mergeCell ref="L97:L99"/>
    <mergeCell ref="M97:M99"/>
    <mergeCell ref="L87:L89"/>
    <mergeCell ref="M87:M89"/>
    <mergeCell ref="K87:K90"/>
    <mergeCell ref="D87:D91"/>
    <mergeCell ref="I87:I90"/>
    <mergeCell ref="J87:J90"/>
    <mergeCell ref="I82:I85"/>
    <mergeCell ref="J82:J85"/>
    <mergeCell ref="L82:L84"/>
    <mergeCell ref="M82:M84"/>
    <mergeCell ref="D26:D50"/>
    <mergeCell ref="E26:E50"/>
    <mergeCell ref="F26:F50"/>
    <mergeCell ref="D56:D68"/>
    <mergeCell ref="E56:E68"/>
    <mergeCell ref="F56:F68"/>
    <mergeCell ref="G56:G68"/>
    <mergeCell ref="D51:D55"/>
    <mergeCell ref="E51:E55"/>
    <mergeCell ref="F51:F55"/>
    <mergeCell ref="L10:M10"/>
    <mergeCell ref="P10:Q10"/>
    <mergeCell ref="L11:M11"/>
    <mergeCell ref="P11:Q11"/>
    <mergeCell ref="P51:P52"/>
    <mergeCell ref="Q51:Q52"/>
    <mergeCell ref="D5:J5"/>
    <mergeCell ref="D9:D10"/>
    <mergeCell ref="D7:J7"/>
    <mergeCell ref="G9:G10"/>
    <mergeCell ref="H9:I10"/>
    <mergeCell ref="D6:J6"/>
    <mergeCell ref="D13:D25"/>
    <mergeCell ref="E13:E25"/>
    <mergeCell ref="G13:G25"/>
    <mergeCell ref="J9:J10"/>
    <mergeCell ref="H11:I11"/>
    <mergeCell ref="E9:F9"/>
    <mergeCell ref="F13:F25"/>
    <mergeCell ref="W9:W10"/>
    <mergeCell ref="O9:R9"/>
    <mergeCell ref="K9:N9"/>
    <mergeCell ref="T11:U11"/>
    <mergeCell ref="S9:V9"/>
    <mergeCell ref="T10:U10"/>
    <mergeCell ref="D123:D127"/>
    <mergeCell ref="E123:E127"/>
    <mergeCell ref="D128:D132"/>
    <mergeCell ref="E128:E132"/>
    <mergeCell ref="F128:F132"/>
    <mergeCell ref="G128:G132"/>
    <mergeCell ref="H128:H131"/>
    <mergeCell ref="I128:I131"/>
    <mergeCell ref="J128:J131"/>
    <mergeCell ref="F123:F127"/>
    <mergeCell ref="G123:G127"/>
    <mergeCell ref="H123:H126"/>
    <mergeCell ref="I123:I126"/>
    <mergeCell ref="J123:J126"/>
    <mergeCell ref="G26:G50"/>
    <mergeCell ref="L133:L135"/>
    <mergeCell ref="Q128:Q129"/>
    <mergeCell ref="R128:R129"/>
    <mergeCell ref="S128:S129"/>
    <mergeCell ref="K128:K131"/>
    <mergeCell ref="K123:K126"/>
    <mergeCell ref="N128:N130"/>
    <mergeCell ref="O128:O130"/>
    <mergeCell ref="P128:P129"/>
    <mergeCell ref="S133:S134"/>
    <mergeCell ref="N133:N135"/>
    <mergeCell ref="O133:O135"/>
    <mergeCell ref="P133:P134"/>
    <mergeCell ref="Q133:Q134"/>
    <mergeCell ref="R133:R134"/>
    <mergeCell ref="L128:L130"/>
    <mergeCell ref="N123:N125"/>
    <mergeCell ref="O123:O125"/>
    <mergeCell ref="P123:P124"/>
    <mergeCell ref="Q123:Q124"/>
    <mergeCell ref="R123:R124"/>
    <mergeCell ref="S123:S124"/>
    <mergeCell ref="M128:M130"/>
    <mergeCell ref="M138:M140"/>
    <mergeCell ref="N138:N140"/>
    <mergeCell ref="O138:O140"/>
    <mergeCell ref="P138:P139"/>
    <mergeCell ref="Q138:Q139"/>
    <mergeCell ref="R138:R139"/>
    <mergeCell ref="S138:S139"/>
    <mergeCell ref="D133:D137"/>
    <mergeCell ref="E133:E137"/>
    <mergeCell ref="M133:M135"/>
    <mergeCell ref="D138:D142"/>
    <mergeCell ref="E138:E142"/>
    <mergeCell ref="F138:F142"/>
    <mergeCell ref="G138:G142"/>
    <mergeCell ref="H138:H141"/>
    <mergeCell ref="I138:I141"/>
    <mergeCell ref="J138:J141"/>
    <mergeCell ref="K138:K141"/>
    <mergeCell ref="L138:L140"/>
    <mergeCell ref="F133:F137"/>
    <mergeCell ref="G133:G137"/>
    <mergeCell ref="H133:H136"/>
    <mergeCell ref="I133:I136"/>
    <mergeCell ref="J133:J136"/>
    <mergeCell ref="S107:S108"/>
    <mergeCell ref="E102:E106"/>
    <mergeCell ref="F102:F106"/>
    <mergeCell ref="G102:G106"/>
    <mergeCell ref="H102:H105"/>
    <mergeCell ref="I102:I105"/>
    <mergeCell ref="J102:J105"/>
    <mergeCell ref="K102:K105"/>
    <mergeCell ref="L102:L104"/>
    <mergeCell ref="D102:D106"/>
    <mergeCell ref="M143:M145"/>
    <mergeCell ref="M102:M104"/>
    <mergeCell ref="N102:N104"/>
    <mergeCell ref="O102:O104"/>
    <mergeCell ref="P102:P103"/>
    <mergeCell ref="Q102:Q103"/>
    <mergeCell ref="R102:R103"/>
    <mergeCell ref="S102:S103"/>
    <mergeCell ref="D107:D111"/>
    <mergeCell ref="E107:E111"/>
    <mergeCell ref="F107:F111"/>
    <mergeCell ref="G107:G111"/>
    <mergeCell ref="H107:H110"/>
    <mergeCell ref="I107:I110"/>
    <mergeCell ref="J107:J110"/>
    <mergeCell ref="K107:K110"/>
    <mergeCell ref="L107:L109"/>
    <mergeCell ref="M107:M109"/>
    <mergeCell ref="N107:N109"/>
    <mergeCell ref="O107:O109"/>
    <mergeCell ref="P107:P108"/>
    <mergeCell ref="Q107:Q108"/>
    <mergeCell ref="R107:R108"/>
    <mergeCell ref="O56:O58"/>
    <mergeCell ref="S56:S57"/>
    <mergeCell ref="P56:P57"/>
    <mergeCell ref="Q56:Q57"/>
    <mergeCell ref="R56:R57"/>
    <mergeCell ref="K56:K59"/>
    <mergeCell ref="M56:M58"/>
    <mergeCell ref="L56:L58"/>
    <mergeCell ref="N56:N58"/>
    <mergeCell ref="J56:J59"/>
    <mergeCell ref="H56:H59"/>
    <mergeCell ref="I56:I59"/>
    <mergeCell ref="O69:O71"/>
    <mergeCell ref="S69:S70"/>
    <mergeCell ref="P69:P70"/>
    <mergeCell ref="Q69:Q70"/>
    <mergeCell ref="R69:R70"/>
    <mergeCell ref="K69:K72"/>
    <mergeCell ref="M69:M71"/>
    <mergeCell ref="L69:L71"/>
    <mergeCell ref="N69:N71"/>
    <mergeCell ref="J69:J72"/>
    <mergeCell ref="H69:H72"/>
    <mergeCell ref="I69:I72"/>
    <mergeCell ref="H60:H63"/>
    <mergeCell ref="I60:I63"/>
    <mergeCell ref="J60:J63"/>
    <mergeCell ref="K60:K63"/>
    <mergeCell ref="L60:L62"/>
    <mergeCell ref="M60:M62"/>
    <mergeCell ref="N60:N62"/>
    <mergeCell ref="S60:S61"/>
    <mergeCell ref="O60:O62"/>
    <mergeCell ref="P60:P61"/>
    <mergeCell ref="Q60:Q61"/>
    <mergeCell ref="R60:R61"/>
    <mergeCell ref="H64:H67"/>
    <mergeCell ref="I64:I67"/>
    <mergeCell ref="J64:J67"/>
    <mergeCell ref="K64:K67"/>
    <mergeCell ref="L64:L66"/>
    <mergeCell ref="M64:M66"/>
    <mergeCell ref="N64:N66"/>
    <mergeCell ref="S64:S65"/>
    <mergeCell ref="O64:O66"/>
    <mergeCell ref="P64:P65"/>
    <mergeCell ref="Q64:Q65"/>
    <mergeCell ref="R64:R65"/>
    <mergeCell ref="H73:H76"/>
    <mergeCell ref="I73:I76"/>
    <mergeCell ref="J73:J76"/>
    <mergeCell ref="K73:K76"/>
    <mergeCell ref="L73:L75"/>
    <mergeCell ref="M73:M75"/>
    <mergeCell ref="N73:N75"/>
    <mergeCell ref="S73:S74"/>
    <mergeCell ref="O73:O75"/>
    <mergeCell ref="P73:P74"/>
    <mergeCell ref="Q73:Q74"/>
    <mergeCell ref="R73:R74"/>
    <mergeCell ref="H77:H80"/>
    <mergeCell ref="I77:I80"/>
    <mergeCell ref="J77:J80"/>
    <mergeCell ref="K77:K80"/>
    <mergeCell ref="L77:L79"/>
    <mergeCell ref="M77:M79"/>
    <mergeCell ref="N77:N79"/>
    <mergeCell ref="S77:S78"/>
    <mergeCell ref="O77:O79"/>
    <mergeCell ref="P77:P78"/>
    <mergeCell ref="Q77:Q78"/>
    <mergeCell ref="R77:R78"/>
    <mergeCell ref="O13:O15"/>
    <mergeCell ref="S13:S14"/>
    <mergeCell ref="P13:P14"/>
    <mergeCell ref="Q13:Q14"/>
    <mergeCell ref="R13:R14"/>
    <mergeCell ref="K13:K16"/>
    <mergeCell ref="M13:M15"/>
    <mergeCell ref="L13:L15"/>
    <mergeCell ref="N13:N15"/>
    <mergeCell ref="J13:J16"/>
    <mergeCell ref="H13:H16"/>
    <mergeCell ref="I13:I16"/>
    <mergeCell ref="O26:O28"/>
    <mergeCell ref="S26:S27"/>
    <mergeCell ref="P26:P27"/>
    <mergeCell ref="Q26:Q27"/>
    <mergeCell ref="R26:R27"/>
    <mergeCell ref="K26:K29"/>
    <mergeCell ref="M26:M28"/>
    <mergeCell ref="L26:L28"/>
    <mergeCell ref="N26:N28"/>
    <mergeCell ref="J26:J29"/>
    <mergeCell ref="H26:H29"/>
    <mergeCell ref="I26:I29"/>
    <mergeCell ref="H17:H20"/>
    <mergeCell ref="I17:I20"/>
    <mergeCell ref="J17:J20"/>
    <mergeCell ref="K17:K20"/>
    <mergeCell ref="L17:L19"/>
    <mergeCell ref="M17:M19"/>
    <mergeCell ref="N17:N19"/>
    <mergeCell ref="S17:S18"/>
    <mergeCell ref="O17:O19"/>
    <mergeCell ref="P17:P18"/>
    <mergeCell ref="Q17:Q18"/>
    <mergeCell ref="R17:R18"/>
    <mergeCell ref="H21:H24"/>
    <mergeCell ref="I21:I24"/>
    <mergeCell ref="J21:J24"/>
    <mergeCell ref="K21:K24"/>
    <mergeCell ref="L21:L23"/>
    <mergeCell ref="M21:M23"/>
    <mergeCell ref="N21:N23"/>
    <mergeCell ref="S21:S22"/>
    <mergeCell ref="O21:O23"/>
    <mergeCell ref="P21:P22"/>
    <mergeCell ref="Q21:Q22"/>
    <mergeCell ref="R21:R22"/>
    <mergeCell ref="H30:H33"/>
    <mergeCell ref="I30:I33"/>
    <mergeCell ref="J30:J33"/>
    <mergeCell ref="K30:K33"/>
    <mergeCell ref="L30:L32"/>
    <mergeCell ref="M30:M32"/>
    <mergeCell ref="N30:N32"/>
    <mergeCell ref="S30:S31"/>
    <mergeCell ref="O30:O32"/>
    <mergeCell ref="P30:P31"/>
    <mergeCell ref="Q30:Q31"/>
    <mergeCell ref="R30:R31"/>
    <mergeCell ref="H34:H37"/>
    <mergeCell ref="I34:I37"/>
    <mergeCell ref="J34:J37"/>
    <mergeCell ref="K34:K37"/>
    <mergeCell ref="L34:L36"/>
    <mergeCell ref="M34:M36"/>
    <mergeCell ref="N34:N36"/>
    <mergeCell ref="S34:S35"/>
    <mergeCell ref="O34:O36"/>
    <mergeCell ref="P34:P35"/>
    <mergeCell ref="Q34:Q35"/>
    <mergeCell ref="R34:R35"/>
    <mergeCell ref="H38:H41"/>
    <mergeCell ref="I38:I41"/>
    <mergeCell ref="J38:J41"/>
    <mergeCell ref="K38:K41"/>
    <mergeCell ref="L38:L40"/>
    <mergeCell ref="M38:M40"/>
    <mergeCell ref="N38:N40"/>
    <mergeCell ref="S38:S39"/>
    <mergeCell ref="O38:O40"/>
    <mergeCell ref="P38:P39"/>
    <mergeCell ref="Q38:Q39"/>
    <mergeCell ref="R38:R39"/>
    <mergeCell ref="H42:H45"/>
    <mergeCell ref="I42:I45"/>
    <mergeCell ref="J42:J45"/>
    <mergeCell ref="K42:K45"/>
    <mergeCell ref="L42:L44"/>
    <mergeCell ref="M42:M44"/>
    <mergeCell ref="N42:N44"/>
    <mergeCell ref="S42:S43"/>
    <mergeCell ref="O42:O44"/>
    <mergeCell ref="P42:P43"/>
    <mergeCell ref="Q42:Q43"/>
    <mergeCell ref="R42:R43"/>
    <mergeCell ref="H46:H49"/>
    <mergeCell ref="I46:I49"/>
    <mergeCell ref="J46:J49"/>
    <mergeCell ref="K46:K49"/>
    <mergeCell ref="L46:L48"/>
    <mergeCell ref="M46:M48"/>
    <mergeCell ref="N46:N48"/>
    <mergeCell ref="S46:S47"/>
    <mergeCell ref="O46:O48"/>
    <mergeCell ref="P46:P47"/>
    <mergeCell ref="Q46:Q47"/>
    <mergeCell ref="R46:R47"/>
  </mergeCells>
  <dataValidations count="288">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Для выбора выполните двойной щелчок левой клавиши мыши по соответствующей ячейке." sqref="S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Выберите виды деятельности, выполнив двойной щелчок левой кнопки мыши по ячейке." sqref="G47"/>
    <dataValidation allowBlank="1" showInputMessage="1" showErrorMessage="1" prompt="Для выбора выполните двойной щелчок левой клавиши мыши по соответствующей ячейке." sqref="F47"/>
    <dataValidation type="textLength" operator="lessThanOrEqual" allowBlank="1" showInputMessage="1" showErrorMessage="1" errorTitle="Ошибка" error="Допускается ввод не более 900 символов!" sqref="W46">
      <formula1>900</formula1>
    </dataValidation>
    <dataValidation type="textLength" operator="lessThanOrEqual" allowBlank="1" showInputMessage="1" showErrorMessage="1" errorTitle="Ошибка" error="Допускается ввод не более 900 символов!" sqref="V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O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K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Для выбора выполните двойной щелчок левой клавиши мыши по соответствующей ячейке." sqref="F43"/>
    <dataValidation type="textLength" operator="lessThanOrEqual" allowBlank="1" showInputMessage="1" showErrorMessage="1" errorTitle="Ошибка" error="Допускается ввод не более 900 символов!" sqref="W42">
      <formula1>900</formula1>
    </dataValidation>
    <dataValidation type="textLength" operator="lessThanOrEqual" allowBlank="1" showInputMessage="1" showErrorMessage="1" errorTitle="Ошибка" error="Допускается ввод не более 900 символов!" sqref="V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O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K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Для выбора выполните двойной щелчок левой клавиши мыши по соответствующей ячейке." sqref="F39"/>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V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O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K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Для выбора выполните двойной щелчок левой клавиши мыши по соответствующей ячейке." sqref="S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Для выбора выполните двойной щелчок левой клавиши мыши по соответствующей ячейке." sqref="F35"/>
    <dataValidation type="textLength" operator="lessThanOrEqual" allowBlank="1" showInputMessage="1" showErrorMessage="1" errorTitle="Ошибка" error="Допускается ввод не более 900 символов!" sqref="W34">
      <formula1>900</formula1>
    </dataValidation>
    <dataValidation type="textLength" operator="lessThanOrEqual" allowBlank="1" showInputMessage="1" showErrorMessage="1" errorTitle="Ошибка" error="Допускается ввод не более 900 символов!" sqref="V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O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K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1"/>
    <dataValidation type="textLength" operator="lessThanOrEqual" allowBlank="1" showInputMessage="1" showErrorMessage="1" errorTitle="Ошибка" error="Допускается ввод не более 900 символов!" sqref="W30">
      <formula1>900</formula1>
    </dataValidation>
    <dataValidation type="textLength" operator="lessThanOrEqual" allowBlank="1" showInputMessage="1" showErrorMessage="1" errorTitle="Ошибка" error="Допускается ввод не более 900 символов!" sqref="V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O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K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Для выбора выполните двойной щелчок левой клавиши мыши по соответствующей ячейке." sqref="F22"/>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O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K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Выберите виды деятельности, выполнив двойной щелчок левой кнопки мыши по ячейке." sqref="G21"/>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Выберите виды деятельности, выполнив двойной щелчок левой кнопки мыши по ячейке." sqref="G20"/>
    <dataValidation allowBlank="1" showInputMessage="1" showErrorMessage="1" prompt="Для выбора выполните двойной щелчок левой клавиши мыши по соответствующей ячейке." sqref="F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allowBlank="1" showInputMessage="1" showErrorMessage="1" prompt="Выберите виды деятельности, выполнив двойной щелчок левой кнопки мыши по ячейке." sqref="G19"/>
    <dataValidation allowBlank="1" showInputMessage="1" showErrorMessage="1" prompt="Для выбора выполните двойной щелчок левой клавиши мыши по соответствующей ячейке." sqref="F19"/>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Выберите виды деятельности, выполнив двойной щелчок левой кнопки мыши по ячейке." sqref="G18"/>
    <dataValidation allowBlank="1" showInputMessage="1" showErrorMessage="1" prompt="Для выбора выполните двойной щелчок левой клавиши мыши по соответствующей ячейке." sqref="F18"/>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allowBlank="1" showInputMessage="1" showErrorMessage="1" prompt="Для выбора выполните двойной щелчок левой клавиши мыши по соответствующей ячейке." sqref="S17"/>
    <dataValidation type="textLength" operator="lessThanOrEqual" allowBlank="1" showInputMessage="1" showErrorMessage="1" errorTitle="Ошибка" error="Допускается ввод не более 900 символов!" sqref="R17">
      <formula1>900</formula1>
    </dataValidation>
    <dataValidation allowBlank="1" showInputMessage="1" showErrorMessage="1" prompt="Для выбора выполните двойной щелчок левой клавиши мыши по соответствующей ячейке." sqref="O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
    <dataValidation allowBlank="1" showInputMessage="1" showErrorMessage="1" prompt="Для выбора выполните двойной щелчок левой клавиши мыши по соответствующей ячейке." sqref="K17"/>
    <dataValidation type="textLength" operator="lessThanOrEqual" allowBlank="1" showInputMessage="1" showErrorMessage="1" errorTitle="Ошибка" error="Допускается ввод не более 900 символов!" sqref="J17">
      <formula1>900</formula1>
    </dataValidation>
    <dataValidation allowBlank="1" showInputMessage="1" showErrorMessage="1" prompt="Выберите виды деятельности, выполнив двойной щелчок левой кнопки мыши по ячейке." sqref="G17"/>
    <dataValidation allowBlank="1" showInputMessage="1" showErrorMessage="1" prompt="Для выбора выполните двойной щелчок левой клавиши мыши по соответствующей ячейке." sqref="F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S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type="textLength" operator="lessThanOrEqual" allowBlank="1" showInputMessage="1" showErrorMessage="1" errorTitle="Ошибка" error="Допускается ввод не более 900 символов!" sqref="J27">
      <formula1>900</formula1>
    </dataValidation>
    <dataValidation type="textLength" operator="lessThanOrEqual" allowBlank="1" showInputMessage="1" showErrorMessage="1" errorTitle="Ошибка" error="Допускается ввод не более 900 символов!" sqref="W26">
      <formula1>900</formula1>
    </dataValidation>
    <dataValidation type="textLength" operator="lessThanOrEqual" allowBlank="1" showInputMessage="1" showErrorMessage="1" errorTitle="Ошибка" error="Допускается ввод не более 900 символов!" sqref="V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O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K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allowBlank="1" showInputMessage="1" showErrorMessage="1" prompt="Для выбора выполните двойной щелчок левой клавиши мыши по соответствующей ячейке." sqref="S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J14">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O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K13"/>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Выберите виды деятельности, выполнив двойной щелчок левой кнопки мыши по ячейке." sqref="G80"/>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Для выбора выполните двойной щелчок левой клавиши мыши по соответствующей ячейке." sqref="S78"/>
    <dataValidation type="textLength" operator="lessThanOrEqual" allowBlank="1" showInputMessage="1" showErrorMessage="1" errorTitle="Ошибка" error="Допускается ввод не более 900 символов!" sqref="R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Выберите виды деятельности, выполнив двойной щелчок левой кнопки мыши по ячейке." sqref="G78"/>
    <dataValidation allowBlank="1" showInputMessage="1" showErrorMessage="1" prompt="Для выбора выполните двойной щелчок левой клавиши мыши по соответствующей ячейке." sqref="F78"/>
    <dataValidation type="textLength" operator="lessThanOrEqual" allowBlank="1" showInputMessage="1" showErrorMessage="1" errorTitle="Ошибка" error="Допускается ввод не более 900 символов!" sqref="W77">
      <formula1>900</formula1>
    </dataValidation>
    <dataValidation type="textLength" operator="lessThanOrEqual" allowBlank="1" showInputMessage="1" showErrorMessage="1" errorTitle="Ошибка" error="Допускается ввод не более 900 символов!" sqref="V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O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allowBlank="1" showInputMessage="1" showErrorMessage="1" prompt="Для выбора выполните двойной щелчок левой клавиши мыши по соответствующей ячейке." sqref="K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Выберите виды деятельности, выполнив двойной щелчок левой кнопки мыши по ячейке." sqref="G77"/>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6"/>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allowBlank="1" showInputMessage="1" showErrorMessage="1" prompt="Выберите виды деятельности, выполнив двойной щелчок левой кнопки мыши по ячейке." sqref="G75"/>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Для выбора выполните двойной щелчок левой клавиши мыши по соответствующей ячейке." sqref="S74"/>
    <dataValidation type="textLength" operator="lessThanOrEqual" allowBlank="1" showInputMessage="1" showErrorMessage="1" errorTitle="Ошибка" error="Допускается ввод не более 900 символов!" sqref="R7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Выберите виды деятельности, выполнив двойной щелчок левой кнопки мыши по ячейке." sqref="G74"/>
    <dataValidation allowBlank="1" showInputMessage="1" showErrorMessage="1" prompt="Для выбора выполните двойной щелчок левой клавиши мыши по соответствующей ячейке." sqref="F74"/>
    <dataValidation type="textLength" operator="lessThanOrEqual" allowBlank="1" showInputMessage="1" showErrorMessage="1" errorTitle="Ошибка" error="Допускается ввод не более 900 символов!" sqref="W73">
      <formula1>900</formula1>
    </dataValidation>
    <dataValidation type="textLength" operator="lessThanOrEqual" allowBlank="1" showInputMessage="1" showErrorMessage="1" errorTitle="Ошибка" error="Допускается ввод не более 900 символов!" sqref="V73">
      <formula1>900</formula1>
    </dataValidation>
    <dataValidation allowBlank="1" showInputMessage="1" showErrorMessage="1" prompt="Для выбора выполните двойной щелчок левой клавиши мыши по соответствующей ячейке." sqref="S73"/>
    <dataValidation type="textLength" operator="lessThanOrEqual" allowBlank="1" showInputMessage="1" showErrorMessage="1" errorTitle="Ошибка" error="Допускается ввод не более 900 символов!" sqref="R73">
      <formula1>900</formula1>
    </dataValidation>
    <dataValidation allowBlank="1" showInputMessage="1" showErrorMessage="1" prompt="Для выбора выполните двойной щелчок левой клавиши мыши по соответствующей ячейке." sqref="O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allowBlank="1" showInputMessage="1" showErrorMessage="1" prompt="Для выбора выполните двойной щелчок левой клавиши мыши по соответствующей ячейке." sqref="K73"/>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Выберите виды деятельности, выполнив двойной щелчок левой кнопки мыши по ячейке." sqref="G73"/>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Для выбора выполните двойной щелчок левой клавиши мыши по соответствующей ячейке." sqref="K82:K83 K92:K93 O92:O93 S92:S93 K87:K88 O82:O83 O87:O88 S82:S83 S87:S88 K123:K124 O123:O124 S123:S124 K128:K129 O128:O129 S128:S129 K138:K139 O138:O139 S138:S139 K133:K134 O133:O134 S97:S98 S133:S134 K97:K98 O97:O98 O175:O176 O149:O150 S149:S150 O154:O155 S154:S155 K149:K150 K154:K155 S143:S144 K170:K171 O170:O171 K165:K166 O165:O166 S170:S171 O159:O160 S165:S166 O102:O103 S102:S103 K102:K103 K107:K108 O107:O108 S107:S108 F123:F147 K143:K144 O143:O144 F149:F163 S159:S160 K159:K160 F165:F179 S175:S176 K175:K176 F13:F16 F25:F29 F50:F59 F68:F72 F81:F111 K51:K52 O51:O52 S51:S52"/>
    <dataValidation type="textLength" operator="lessThanOrEqual" allowBlank="1" showInputMessage="1" showErrorMessage="1" errorTitle="Ошибка" error="Допускается ввод не более 900 символов!" sqref="J82:J83 J92:J93 R92:R93 V92:W92 J87:J88 R82:R83 R87:R88 V82:W82 V87:W87 J123:J124 R123:R124 V123:W123 J128:J129 R128:R129 V128:W128 J138:J139 R138:R139 V138:W138 J133:J134 R133:R134 V133:W133 J97:J98 R97:R98 V97:W97 J149:J150 R149:R150 V149:W149 J154:J155 R154:R155 V154:W154 J170:J171 R170:R171 V170:W170 J165:J166 R165:R166 V165:W165 J102:J103 R102:R103 V102:W102 J107:J108 R107:R108 V107:W107 J143:J144 R143:R144 V143:W143 J159:J160 R159:R160 V159:W159 J175:J176 R175:R176 V175:W175 J51:J52 R51:R52 V51:W51">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N94 N87:N89 N82:N84 N123:N125 N138:N140 N128:N130 N133:N135 N97:N99 N149:N151 N154:N156 N170:N172 N165:N167 N102:N104 N107:N109 N143:N145 N159:N161 N175:N177 N51:N53">
      <formula1>DESCRIPTION_TERRITORY</formula1>
    </dataValidation>
    <dataValidation allowBlank="1" showInputMessage="1" showErrorMessage="1" prompt="Выберите виды деятельности, выполнив двойной щелчок левой кнопки мыши по ячейке." sqref="G149:G163 G165:G179 G123:G147 G13:G16 G25:G29 G50:G59 G68:G72 G81:G111"/>
    <dataValidation type="list" allowBlank="1" showInputMessage="1" showErrorMessage="1" errorTitle="Ошибка" error="Выберите значение из списка" prompt="Выберите значение из списка" sqref="E26:E29 E50">
      <formula1>kind_of_tariff_RHEAT</formula1>
    </dataValidation>
    <dataValidation type="textLength" operator="lessThanOrEqual" allowBlank="1" showInputMessage="1" showErrorMessage="1" errorTitle="Ошибка" error="Допускается ввод не более 900 символов!" sqref="J56">
      <formula1>900</formula1>
    </dataValidation>
    <dataValidation allowBlank="1" showInputMessage="1" showErrorMessage="1" prompt="Для выбора выполните двойной щелчок левой клавиши мыши по соответствующей ячейке." sqref="K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allowBlank="1" showInputMessage="1" showErrorMessage="1" prompt="Для выбора выполните двойной щелчок левой клавиши мыши по соответствующей ячейке." sqref="O56"/>
    <dataValidation type="textLength" operator="lessThanOrEqual" allowBlank="1" showInputMessage="1" showErrorMessage="1" errorTitle="Ошибка" error="Допускается ввод не более 900 символов!" sqref="R56">
      <formula1>900</formula1>
    </dataValidation>
    <dataValidation allowBlank="1" showInputMessage="1" showErrorMessage="1" prompt="Для выбора выполните двойной щелчок левой клавиши мыши по соответствующей ячейке." sqref="S56"/>
    <dataValidation type="textLength" operator="lessThanOrEqual" allowBlank="1" showInputMessage="1" showErrorMessage="1" errorTitle="Ошибка" error="Допускается ввод не более 900 символов!" sqref="V56">
      <formula1>900</formula1>
    </dataValidation>
    <dataValidation type="textLength" operator="lessThanOrEqual" allowBlank="1" showInputMessage="1" showErrorMessage="1" errorTitle="Ошибка" error="Допускается ввод не более 900 символов!" sqref="W56">
      <formula1>900</formula1>
    </dataValidation>
    <dataValidation type="textLength" operator="lessThanOrEqual" allowBlank="1" showInputMessage="1" showErrorMessage="1" errorTitle="Ошибка" error="Допускается ввод не более 900 символов!" sqref="J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type="textLength" operator="lessThanOrEqual" allowBlank="1" showInputMessage="1" showErrorMessage="1" errorTitle="Ошибка" error="Допускается ввод не более 900 символов!" sqref="R57">
      <formula1>900</formula1>
    </dataValidation>
    <dataValidation allowBlank="1" showInputMessage="1" showErrorMessage="1" prompt="Для выбора выполните двойной щелчок левой клавиши мыши по соответствующей ячейке." sqref="S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Для выбора выполните двойной щелчок левой клавиши мыши по соответствующей ячейке." sqref="K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O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type="textLength" operator="lessThanOrEqual" allowBlank="1" showInputMessage="1" showErrorMessage="1" errorTitle="Ошибка" error="Допускается ввод не более 900 символов!" sqref="V69">
      <formula1>900</formula1>
    </dataValidation>
    <dataValidation type="textLength" operator="lessThanOrEqual" allowBlank="1" showInputMessage="1" showErrorMessage="1" errorTitle="Ошибка" error="Допускается ввод не более 900 символов!" sqref="W69">
      <formula1>900</formula1>
    </dataValidation>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Для выбора выполните двойной щелчок левой клавиши мыши по соответствующей ячейке." sqref="S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allowBlank="1" showInputMessage="1" showErrorMessage="1" prompt="Для выбора выполните двойной щелчок левой клавиши мыши по соответствующей ячейке." sqref="F60"/>
    <dataValidation allowBlank="1" showInputMessage="1" showErrorMessage="1" prompt="Выберите виды деятельности, выполнив двойной щелчок левой кнопки мыши по ячейке." sqref="G60"/>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Для выбора выполните двойной щелчок левой клавиши мыши по соответствующей ячейке." sqref="K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O60"/>
    <dataValidation type="textLength" operator="lessThanOrEqual" allowBlank="1" showInputMessage="1" showErrorMessage="1" errorTitle="Ошибка" error="Допускается ввод не более 900 символов!" sqref="R60">
      <formula1>900</formula1>
    </dataValidation>
    <dataValidation allowBlank="1" showInputMessage="1" showErrorMessage="1" prompt="Для выбора выполните двойной щелчок левой клавиши мыши по соответствующей ячейке." sqref="S60"/>
    <dataValidation type="textLength" operator="lessThanOrEqual" allowBlank="1" showInputMessage="1" showErrorMessage="1" errorTitle="Ошибка" error="Допускается ввод не более 900 символов!" sqref="V60">
      <formula1>900</formula1>
    </dataValidation>
    <dataValidation type="textLength" operator="lessThanOrEqual" allowBlank="1" showInputMessage="1" showErrorMessage="1" errorTitle="Ошибка" error="Допускается ввод не более 900 символов!" sqref="W60">
      <formula1>900</formula1>
    </dataValidation>
    <dataValidation allowBlank="1" showInputMessage="1" showErrorMessage="1" prompt="Для выбора выполните двойной щелчок левой клавиши мыши по соответствующей ячейке." sqref="F61"/>
    <dataValidation allowBlank="1" showInputMessage="1" showErrorMessage="1" prompt="Выберите виды деятельности, выполнив двойной щелчок левой кнопки мыши по ячейке." sqref="G61"/>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Для выбора выполните двойной щелчок левой клавиши мыши по соответствующей ячейке." sqref="S61"/>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Выберите виды деятельности, выполнив двойной щелчок левой кнопки мыши по ячейке." sqref="G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allowBlank="1" showInputMessage="1" showErrorMessage="1" prompt="Для выбора выполните двойной щелчок левой клавиши мыши по соответствующей ячейке." sqref="F63"/>
    <dataValidation allowBlank="1" showInputMessage="1" showErrorMessage="1" prompt="Выберите виды деятельности, выполнив двойной щелчок левой кнопки мыши по ячейке." sqref="G63"/>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Выберите виды деятельности, выполнив двойной щелчок левой кнопки мыши по ячейке." sqref="G64"/>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Для выбора выполните двойной щелчок левой клавиши мыши по соответствующей ячейке." sqref="K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O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V64">
      <formula1>900</formula1>
    </dataValidation>
    <dataValidation type="textLength" operator="lessThanOrEqual" allowBlank="1" showInputMessage="1" showErrorMessage="1" errorTitle="Ошибка" error="Допускается ввод не более 900 символов!" sqref="W64">
      <formula1>900</formula1>
    </dataValidation>
    <dataValidation allowBlank="1" showInputMessage="1" showErrorMessage="1" prompt="Для выбора выполните двойной щелчок левой клавиши мыши по соответствующей ячейке." sqref="F65"/>
    <dataValidation allowBlank="1" showInputMessage="1" showErrorMessage="1" prompt="Выберите виды деятельности, выполнив двойной щелчок левой кнопки мыши по ячейке." sqref="G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Выберите виды деятельности, выполнив двойной щелчок левой кнопки мыши по ячейке." sqref="G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Выберите виды деятельности, выполнив двойной щелчок левой кнопки мыши по ячейке." sqref="G6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99B82C-BF51-03D6-6725-1CE45F12EDD6}"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62759" width="9.140625" hidden="1" customWidth="1"/>
    <col min="2" max="2" style="62286" width="9.140625" hidden="1" customWidth="1"/>
    <col min="3" max="3" style="62111" width="4.00390625" customWidth="1"/>
    <col min="4" max="4" style="62286" width="6.00390625" customWidth="1"/>
    <col min="5" max="5" style="62286" width="47.00390625" customWidth="1"/>
    <col min="6" max="6" style="62286" width="9.00390625" customWidth="1"/>
    <col min="7" max="7" style="62286" width="25.7109375" hidden="1" customWidth="1"/>
    <col min="8" max="8" style="62286" width="34.00390625" hidden="1" customWidth="1"/>
    <col min="9" max="9" style="62286" width="25.7109375" customWidth="1"/>
    <col min="10" max="10" style="62286" width="33.00390625" customWidth="1"/>
    <col min="11" max="11" style="62148" width="50.00390625" customWidth="1"/>
    <col min="12" max="20" style="62286" width="10.00390625" customWidth="1"/>
    <col min="21" max="21" style="62545" width="10.00390625" customWidth="1"/>
    <col min="22" max="22" style="62286" width="10.57421875" hidden="1"/>
  </cols>
  <sheetData>
    <row s="62148" customFormat="1" customHeight="1" ht="22.5" hidden="1">
      <c r="C1" s="1364"/>
      <c r="G1" s="1109">
        <v>4</v>
      </c>
      <c r="I1" s="1109">
        <v>4</v>
      </c>
      <c r="U1" s="1112"/>
      <c r="V1" s="1109" t="s">
        <v>14</v>
      </c>
    </row>
    <row s="62286" customFormat="1" customHeight="1" ht="15" hidden="1">
      <c r="A2" s="1054"/>
      <c r="C2" s="868"/>
      <c r="D2" s="1038"/>
      <c r="E2" s="1365"/>
      <c r="F2" s="1214"/>
      <c r="G2" s="1308"/>
      <c r="H2" s="1308"/>
      <c r="I2" s="1308"/>
      <c r="J2" s="1308"/>
      <c r="U2" s="1366"/>
      <c r="V2" s="1201">
        <v>0</v>
      </c>
    </row>
    <row s="62148" customFormat="1" customHeight="1" ht="15" hidden="1">
      <c r="C3" s="1364"/>
      <c r="U3" s="1112"/>
      <c r="V3" s="1109">
        <v>0</v>
      </c>
    </row>
    <row customHeight="1" ht="15.75">
      <c r="C4" s="868"/>
      <c r="D4" s="1201"/>
      <c r="E4" s="1201"/>
      <c r="F4" s="1201"/>
      <c r="G4" s="1201"/>
      <c r="H4" s="1201"/>
      <c r="I4" s="1201"/>
      <c r="J4" s="1201"/>
      <c r="V4" s="1197">
        <v>15</v>
      </c>
    </row>
    <row customHeight="1" ht="66">
      <c r="C5" s="868"/>
      <c r="D5" s="2929" t="s">
        <v>1233</v>
      </c>
      <c r="E5" s="2929"/>
      <c r="F5" s="2929"/>
      <c r="G5" s="2929"/>
      <c r="H5" s="2929"/>
      <c r="I5" s="2929"/>
      <c r="J5" s="2929"/>
      <c r="V5" s="1197">
        <v>63</v>
      </c>
    </row>
    <row customHeight="1" ht="15.75">
      <c r="C6" s="868"/>
      <c r="D6" s="2868" t="str">
        <f>IF(org=0,"Не определено",org)</f>
        <v>АО "ДГК"</v>
      </c>
      <c r="E6" s="2868"/>
      <c r="F6" s="2868"/>
      <c r="G6" s="2868"/>
      <c r="H6" s="2868"/>
      <c r="I6" s="2868"/>
      <c r="J6" s="2868"/>
      <c r="K6" s="1229"/>
      <c r="V6" s="1197">
        <v>15</v>
      </c>
    </row>
    <row customHeight="1" ht="15.75">
      <c r="C7" s="868"/>
      <c r="D7" s="1444"/>
      <c r="E7" s="1201"/>
      <c r="F7" s="1201"/>
      <c r="G7" s="1229">
        <v>22</v>
      </c>
      <c r="I7" s="1229">
        <v>1</v>
      </c>
      <c r="J7" s="1444"/>
      <c r="V7" s="1197">
        <v>15</v>
      </c>
    </row>
    <row s="62286" customFormat="1" customHeight="1" ht="1.05">
      <c r="A8" s="1451"/>
      <c r="C8" s="868"/>
      <c r="D8" s="1201"/>
      <c r="E8" s="1201"/>
      <c r="F8" s="1201"/>
      <c r="G8" s="1229"/>
      <c r="H8" s="1444"/>
      <c r="I8" s="1229" t="s">
        <v>125</v>
      </c>
      <c r="J8" s="1444"/>
      <c r="K8" s="1109"/>
      <c r="U8" s="1367"/>
      <c r="V8" s="1450">
        <v>1</v>
      </c>
    </row>
    <row customHeight="1" ht="15.75">
      <c r="C9" s="868"/>
      <c r="D9" s="1403"/>
      <c r="E9" s="3059" t="s">
        <v>114</v>
      </c>
      <c r="F9" s="3060"/>
      <c r="G9" s="3087" t="str">
        <f>IF(G8="","",INDEX(DIFFERENTIATION_UNMERGE_VD,MATCH(G8,DIFFERENTIATION_ID_DIFF,0)))</f>
        <v/>
      </c>
      <c r="H9" s="3088"/>
      <c r="I9" s="3087">
        <f>IF(I8="","",INDEX(DIFFERENTIATION_UNMERGE_VD,MATCH(I8,DIFFERENTIATION_ID_DIFF,0)))</f>
        <v>0</v>
      </c>
      <c r="J9" s="3088"/>
      <c r="K9" s="2867" t="s">
        <v>376</v>
      </c>
      <c r="V9" s="1197">
        <v>15</v>
      </c>
    </row>
    <row s="62286" customFormat="1" customHeight="1" ht="15.75">
      <c r="A10" s="1451"/>
      <c r="C10" s="868"/>
      <c r="D10" s="1403"/>
      <c r="E10" s="3059" t="s">
        <v>638</v>
      </c>
      <c r="F10" s="3060"/>
      <c r="G10" s="3087" t="str">
        <f>IF(G8="","",INDEX(DIFFERENTIATION_UNMERGE_AREA,MATCH(G8,DIFFERENTIATION_ID_DIFF,0)))</f>
        <v/>
      </c>
      <c r="H10" s="3088"/>
      <c r="I10" s="3087" t="str">
        <f>IF(I8="","",INDEX(DIFFERENTIATION_UNMERGE_AREA,MATCH(I8,DIFFERENTIATION_ID_DIFF,0)))</f>
        <v/>
      </c>
      <c r="J10" s="3088"/>
      <c r="K10" s="2891"/>
      <c r="U10" s="1367"/>
      <c r="V10" s="1450">
        <v>15</v>
      </c>
    </row>
    <row s="62286" customFormat="1" customHeight="1" ht="15.75">
      <c r="A11" s="1451"/>
      <c r="C11" s="868"/>
      <c r="D11" s="1403"/>
      <c r="E11" s="3059" t="s">
        <v>639</v>
      </c>
      <c r="F11" s="3060"/>
      <c r="G11" s="3087" t="str">
        <f>IF(G8="","",INDEX(DIFFERENTIATION_UNMERGE_SYSTEM,MATCH(G8,DIFFERENTIATION_ID_DIFF,0)))</f>
        <v/>
      </c>
      <c r="H11" s="3088"/>
      <c r="I11" s="3087" t="str">
        <f>IF(I8="","",INDEX(DIFFERENTIATION_UNMERGE_SYSTEM,MATCH(I8,DIFFERENTIATION_ID_DIFF,0)))</f>
        <v>без дифференциации</v>
      </c>
      <c r="J11" s="3088"/>
      <c r="K11" s="2891"/>
      <c r="U11" s="1367"/>
      <c r="V11" s="1450">
        <v>15</v>
      </c>
    </row>
    <row s="62286" customFormat="1" customHeight="1" ht="15.75">
      <c r="A12" s="1451"/>
      <c r="C12" s="868"/>
      <c r="D12" s="3061" t="s">
        <v>375</v>
      </c>
      <c r="E12" s="3062"/>
      <c r="F12" s="3062"/>
      <c r="G12" s="1579"/>
      <c r="H12" s="1579"/>
      <c r="I12" s="1579"/>
      <c r="J12" s="1579"/>
      <c r="K12" s="2891"/>
      <c r="U12" s="1367"/>
      <c r="V12" s="1450">
        <v>15</v>
      </c>
    </row>
    <row customHeight="1" ht="35.699999999999996">
      <c r="C13" s="868"/>
      <c r="D13" s="1497" t="s">
        <v>89</v>
      </c>
      <c r="E13" s="1499" t="s">
        <v>377</v>
      </c>
      <c r="F13" s="1499" t="s">
        <v>640</v>
      </c>
      <c r="G13" s="1500" t="s">
        <v>378</v>
      </c>
      <c r="H13" s="1499" t="s">
        <v>465</v>
      </c>
      <c r="I13" s="1500" t="s">
        <v>378</v>
      </c>
      <c r="J13" s="1499" t="s">
        <v>465</v>
      </c>
      <c r="K13" s="2924"/>
      <c r="V13" s="1197">
        <v>34</v>
      </c>
    </row>
    <row customHeight="1" ht="15" hidden="1">
      <c r="C14" s="868"/>
      <c r="D14" s="1285" t="s">
        <v>118</v>
      </c>
      <c r="E14" s="1285" t="s">
        <v>103</v>
      </c>
      <c r="F14" s="1285" t="s">
        <v>91</v>
      </c>
      <c r="G14" s="1351" t="str">
        <f>G1&amp;".1"</f>
        <v>4.1</v>
      </c>
      <c r="H14" s="1351"/>
      <c r="I14" s="1351" t="str">
        <f>I1&amp;".1"</f>
        <v>4.1</v>
      </c>
      <c r="J14" s="1351"/>
      <c r="K14" s="981"/>
      <c r="V14" s="1197">
        <v>0</v>
      </c>
    </row>
    <row customHeight="1" ht="22.5" hidden="1">
      <c r="A15" s="1197"/>
      <c r="C15" s="1218"/>
      <c r="D15" s="1213">
        <v>1</v>
      </c>
      <c r="E15" s="1369" t="s">
        <v>882</v>
      </c>
      <c r="F15" s="1213" t="s">
        <v>883</v>
      </c>
      <c r="G15" s="1370"/>
      <c r="H15" s="1370"/>
      <c r="I15" s="1370"/>
      <c r="J15" s="1370"/>
      <c r="K15" s="981" t="s">
        <v>884</v>
      </c>
      <c r="V15" s="1197">
        <v>0</v>
      </c>
    </row>
    <row customHeight="1" ht="22.5" hidden="1">
      <c r="A16" s="1197"/>
      <c r="C16" s="1218"/>
      <c r="D16" s="1213">
        <v>2</v>
      </c>
      <c r="E16" s="971" t="s">
        <v>885</v>
      </c>
      <c r="F16" s="1213" t="s">
        <v>886</v>
      </c>
      <c r="G16" s="1370"/>
      <c r="H16" s="1370"/>
      <c r="I16" s="1370"/>
      <c r="J16" s="1370"/>
      <c r="K16" s="981" t="s">
        <v>887</v>
      </c>
      <c r="V16" s="1197">
        <v>0</v>
      </c>
    </row>
    <row customHeight="1" ht="123.75" hidden="1">
      <c r="A17" s="1197"/>
      <c r="C17" s="1218"/>
      <c r="D17" s="1213">
        <v>3</v>
      </c>
      <c r="E17" s="971" t="s">
        <v>1234</v>
      </c>
      <c r="F17" s="1213" t="s">
        <v>381</v>
      </c>
      <c r="G17" s="1370"/>
      <c r="H17" s="1370"/>
      <c r="I17" s="1370"/>
      <c r="J17" s="1370"/>
      <c r="K17" s="981" t="s">
        <v>1235</v>
      </c>
      <c r="V17" s="1197">
        <v>0</v>
      </c>
    </row>
    <row customHeight="1" ht="48.29999999999999">
      <c r="A18" s="1197"/>
      <c r="C18" s="1218"/>
      <c r="D18" s="1213">
        <v>3</v>
      </c>
      <c r="E18" s="971" t="s">
        <v>888</v>
      </c>
      <c r="F18" s="1213" t="s">
        <v>381</v>
      </c>
      <c r="G18" s="1501" t="s">
        <v>381</v>
      </c>
      <c r="H18" s="1502" t="s">
        <v>381</v>
      </c>
      <c r="I18" s="1213" t="s">
        <v>381</v>
      </c>
      <c r="J18" s="1270" t="s">
        <v>381</v>
      </c>
      <c r="K18" s="981" t="s">
        <v>1236</v>
      </c>
      <c r="V18" s="1197">
        <v>46</v>
      </c>
    </row>
    <row customHeight="1" ht="35.699999999999996">
      <c r="A19" s="1197"/>
      <c r="C19" s="1218"/>
      <c r="D19" s="1231" t="s">
        <v>399</v>
      </c>
      <c r="E19" s="1251" t="s">
        <v>890</v>
      </c>
      <c r="F19" s="1213" t="s">
        <v>891</v>
      </c>
      <c r="G19" s="1509"/>
      <c r="H19" s="798"/>
      <c r="I19" s="1509"/>
      <c r="J19" s="1510"/>
      <c r="K19" s="1371"/>
      <c r="V19" s="1197">
        <v>34</v>
      </c>
    </row>
    <row customHeight="1" ht="35.699999999999996">
      <c r="A20" s="1197"/>
      <c r="C20" s="1218"/>
      <c r="D20" s="2582" t="s">
        <v>407</v>
      </c>
      <c r="E20" s="1251" t="s">
        <v>892</v>
      </c>
      <c r="F20" s="1213" t="s">
        <v>893</v>
      </c>
      <c r="G20" s="1509"/>
      <c r="H20" s="798"/>
      <c r="I20" s="1509"/>
      <c r="J20" s="798"/>
      <c r="K20" s="1371"/>
      <c r="V20" s="1197">
        <v>34</v>
      </c>
    </row>
    <row customHeight="1" ht="48.29999999999999">
      <c r="A21" s="1197"/>
      <c r="C21" s="1218"/>
      <c r="D21" s="2582" t="s">
        <v>409</v>
      </c>
      <c r="E21" s="1251" t="s">
        <v>894</v>
      </c>
      <c r="F21" s="1213" t="s">
        <v>645</v>
      </c>
      <c r="G21" s="1372"/>
      <c r="H21" s="798"/>
      <c r="I21" s="1372"/>
      <c r="J21" s="798"/>
      <c r="K21" s="1371"/>
      <c r="V21" s="1197">
        <v>46</v>
      </c>
    </row>
    <row customHeight="1" ht="67.5" hidden="1">
      <c r="A22" s="1197"/>
      <c r="C22" s="1218"/>
      <c r="D22" s="1213">
        <v>5</v>
      </c>
      <c r="E22" s="971" t="s">
        <v>1237</v>
      </c>
      <c r="F22" s="1213" t="s">
        <v>632</v>
      </c>
      <c r="G22" s="1373"/>
      <c r="H22" s="1374"/>
      <c r="I22" s="1373"/>
      <c r="J22" s="1374"/>
      <c r="K22" s="981" t="s">
        <v>1238</v>
      </c>
      <c r="V22" s="1197">
        <v>0</v>
      </c>
    </row>
    <row customHeight="1" ht="33.75" hidden="1">
      <c r="C23" s="1143"/>
      <c r="D23" s="1213">
        <v>6</v>
      </c>
      <c r="E23" s="971" t="s">
        <v>1239</v>
      </c>
      <c r="F23" s="1213" t="s">
        <v>1240</v>
      </c>
      <c r="G23" s="1373"/>
      <c r="H23" s="1373"/>
      <c r="I23" s="1373"/>
      <c r="J23" s="1373"/>
      <c r="K23" s="981" t="s">
        <v>1241</v>
      </c>
      <c r="V23" s="1197">
        <v>0</v>
      </c>
    </row>
    <row customHeight="1" ht="15.75">
      <c r="V24" s="1197">
        <v>15</v>
      </c>
    </row>
    <row customHeight="1" ht="15.75">
      <c r="V25" s="1197">
        <v>15</v>
      </c>
    </row>
    <row customHeight="1" ht="15.75">
      <c r="V26" s="1197">
        <v>15</v>
      </c>
    </row>
    <row customHeight="1" ht="15.75">
      <c r="V27" s="1197">
        <v>15</v>
      </c>
    </row>
    <row customHeight="1" ht="15.75">
      <c r="V28" s="1197">
        <v>15</v>
      </c>
    </row>
    <row customHeight="1" ht="15.75">
      <c r="J29" s="1511"/>
      <c r="V29" s="1197">
        <v>15</v>
      </c>
    </row>
    <row customHeight="1" ht="22.5" hidden="1">
      <c r="A30" s="1141" t="s">
        <v>83</v>
      </c>
      <c r="B30" s="1197">
        <v>0</v>
      </c>
      <c r="C30" s="1375">
        <v>4</v>
      </c>
      <c r="D30" s="1197">
        <v>6</v>
      </c>
      <c r="E30" s="1197">
        <v>47</v>
      </c>
      <c r="F30" s="1197">
        <v>9</v>
      </c>
      <c r="G30" s="1450">
        <v>0</v>
      </c>
      <c r="H30" s="1450">
        <v>0</v>
      </c>
      <c r="I30" s="1197">
        <v>25</v>
      </c>
      <c r="J30" s="1197">
        <v>33</v>
      </c>
      <c r="K30" s="1109">
        <v>50</v>
      </c>
      <c r="L30" s="1197">
        <v>10</v>
      </c>
      <c r="M30" s="1197">
        <v>10</v>
      </c>
      <c r="N30" s="1197">
        <v>10</v>
      </c>
      <c r="O30" s="1197">
        <v>10</v>
      </c>
      <c r="P30" s="1197">
        <v>10</v>
      </c>
      <c r="Q30" s="1197">
        <v>10</v>
      </c>
      <c r="R30" s="1197">
        <v>10</v>
      </c>
      <c r="S30" s="1197">
        <v>10</v>
      </c>
      <c r="T30" s="1197">
        <v>10</v>
      </c>
      <c r="U30" s="1367">
        <v>10</v>
      </c>
      <c r="V30" s="1197">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056C342-ACB5-F0C4-306A-E4F4B5779DC9}"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62654" width="32.57421875" customWidth="1"/>
    <col min="2" max="2" style="63225" width="11.00390625" customWidth="1"/>
    <col min="3" max="3" style="63225" width="9.140625"/>
    <col min="4" max="4" style="63225" width="26.57421875" customWidth="1"/>
    <col min="5" max="5" style="62977" width="36.8515625" customWidth="1"/>
    <col min="6" max="6" style="62977" width="23.57421875" customWidth="1"/>
    <col min="7" max="7" style="62977" width="31.421875" customWidth="1"/>
    <col min="8" max="8" style="62977" width="40.8515625" customWidth="1"/>
    <col min="9" max="9" style="62977" width="14.57421875" customWidth="1"/>
    <col min="10" max="10" style="62977" width="26.8515625" customWidth="1"/>
    <col min="11" max="11" style="62977" width="50.00390625" customWidth="1"/>
    <col min="12" max="12" style="62977" width="52.421875" customWidth="1"/>
    <col min="13" max="13" style="62977" width="10.7109375" customWidth="1"/>
    <col min="14" max="14" style="62977" width="55.140625" customWidth="1"/>
    <col min="15" max="15" style="62977" width="31.8515625" customWidth="1"/>
    <col min="16" max="16" style="62977" width="23.8515625" customWidth="1"/>
    <col min="17" max="17" style="62977" width="46.57421875" customWidth="1"/>
    <col min="18" max="18" style="62977" width="24.00390625" customWidth="1"/>
    <col min="19" max="19" style="62977" width="20.57421875" customWidth="1"/>
    <col min="20" max="20" style="62977" width="22.00390625" customWidth="1"/>
    <col min="21" max="22" style="62977" width="26.421875" customWidth="1"/>
    <col min="23" max="23" style="62977" width="8.28125" hidden="1" customWidth="1"/>
    <col min="24" max="24" style="62977" width="59.7109375" customWidth="1"/>
    <col min="25" max="25" style="62977" width="49.140625" customWidth="1"/>
    <col min="26" max="26" style="62977" width="11.140625" customWidth="1"/>
    <col min="27" max="30" style="62977" width="29.00390625" customWidth="1"/>
    <col min="31" max="31" style="62977" width="9.140625"/>
    <col min="32" max="32" style="62977" width="34.7109375" customWidth="1"/>
    <col min="33" max="33" style="62977" width="9.140625"/>
    <col min="34" max="35" style="62977" width="34.421875" customWidth="1"/>
    <col min="36" max="36" style="62977" width="9.140625"/>
    <col min="37" max="37" style="62977" width="24.57421875" customWidth="1"/>
    <col min="38" max="38" style="62977" width="9.140625"/>
    <col min="39" max="39" style="62977" width="26.140625" customWidth="1"/>
    <col min="40" max="40" style="62977" width="1.7109375" customWidth="1"/>
    <col min="41" max="41" style="62977" width="9.140625"/>
    <col min="42" max="43" style="62977" width="47.8515625" customWidth="1"/>
    <col min="44" max="44" style="62977" width="1.7109375" customWidth="1"/>
    <col min="45" max="45" style="62977" width="21.421875" customWidth="1"/>
    <col min="46" max="46" style="62977" width="1.7109375" customWidth="1"/>
    <col min="47" max="47" style="62977" width="31.28125" customWidth="1"/>
    <col min="48" max="48" style="62977" width="1.7109375" customWidth="1"/>
    <col min="49" max="50" style="62977" width="9.140625"/>
    <col min="51" max="51" style="62977" width="3.7109375" customWidth="1"/>
    <col min="52" max="52" style="62977" width="60.8515625" customWidth="1"/>
    <col min="53" max="53" style="62977" width="49.28125" customWidth="1"/>
    <col min="54" max="54" style="62977" width="35.140625" customWidth="1"/>
    <col min="55" max="55" style="62977" width="9.140625"/>
    <col min="56" max="56" style="62977" width="1.7109375" customWidth="1"/>
    <col min="57" max="57" style="62655" width="12.57421875" customWidth="1"/>
    <col min="58" max="58" style="62655" width="14.28125" customWidth="1"/>
    <col min="59" max="59" style="62977" width="30.7109375" customWidth="1"/>
    <col min="60" max="60" style="62656" width="40.7109375" customWidth="1"/>
    <col min="61" max="61" style="62656" width="15.00390625" customWidth="1"/>
    <col min="62" max="62" style="62656" width="40.7109375" customWidth="1"/>
    <col min="63" max="63" style="62656" width="2.7109375" customWidth="1"/>
    <col min="64" max="64" style="62656" width="44.7109375" customWidth="1"/>
    <col min="65" max="65" style="62656" width="2.7109375" customWidth="1"/>
    <col min="66" max="66" style="62656" width="40.7109375" customWidth="1"/>
    <col min="67" max="68" style="62977" width="9.140625"/>
    <col min="69" max="69" style="62977" width="18.140625" customWidth="1"/>
    <col min="70" max="70" style="62977" width="57.8515625" customWidth="1"/>
    <col min="71" max="71" style="62977" width="1.7109375" customWidth="1"/>
    <col min="72" max="72" style="62977" width="22.57421875" customWidth="1"/>
    <col min="73" max="73" style="62977" width="57.8515625" customWidth="1"/>
    <col min="74" max="74" style="62977" width="1.7109375" customWidth="1"/>
    <col min="75" max="75" style="62977" width="22.57421875" customWidth="1"/>
    <col min="76" max="76" style="62977" width="57.8515625" customWidth="1"/>
    <col min="77" max="77" style="62977" width="1.7109375" customWidth="1"/>
    <col min="78" max="78" style="62977" width="22.57421875" customWidth="1"/>
    <col min="79" max="79" style="62977" width="57.8515625" customWidth="1"/>
    <col min="80" max="81" style="62977" width="9.140625"/>
    <col min="82" max="82" style="62977" width="49.57421875" customWidth="1"/>
  </cols>
  <sheetData>
    <row s="62566" customFormat="1" customHeight="1" ht="11.25">
      <c r="A1" s="1759" t="s">
        <v>1242</v>
      </c>
      <c r="B1" s="1759" t="s">
        <v>1243</v>
      </c>
      <c r="C1" s="1759" t="s">
        <v>1244</v>
      </c>
      <c r="D1" s="1759" t="s">
        <v>1245</v>
      </c>
      <c r="E1" s="1759" t="s">
        <v>1246</v>
      </c>
      <c r="F1" s="1759" t="s">
        <v>1247</v>
      </c>
      <c r="G1" s="1759" t="s">
        <v>1248</v>
      </c>
      <c r="H1" s="1759" t="s">
        <v>1249</v>
      </c>
      <c r="I1" s="1759" t="s">
        <v>1250</v>
      </c>
      <c r="J1" s="1759" t="s">
        <v>1251</v>
      </c>
      <c r="K1" s="1759" t="s">
        <v>1252</v>
      </c>
      <c r="L1" s="1759" t="s">
        <v>1253</v>
      </c>
      <c r="M1" s="1759"/>
      <c r="N1" s="1759" t="s">
        <v>1254</v>
      </c>
      <c r="O1" s="1759" t="s">
        <v>1255</v>
      </c>
      <c r="P1" s="1759" t="s">
        <v>1256</v>
      </c>
      <c r="Q1" s="1759" t="s">
        <v>1257</v>
      </c>
      <c r="R1" s="1759" t="s">
        <v>1258</v>
      </c>
      <c r="S1" s="1759" t="s">
        <v>1259</v>
      </c>
      <c r="T1" s="1759" t="s">
        <v>1260</v>
      </c>
      <c r="U1" s="1759" t="s">
        <v>1261</v>
      </c>
      <c r="V1" s="1759"/>
      <c r="W1" s="1489" t="s">
        <v>1262</v>
      </c>
      <c r="X1" s="1759" t="s">
        <v>1263</v>
      </c>
      <c r="Y1" s="1759" t="s">
        <v>1264</v>
      </c>
      <c r="Z1" s="1759"/>
      <c r="AA1" s="1759" t="s">
        <v>1265</v>
      </c>
      <c r="AB1" s="1759"/>
      <c r="AC1" s="1759" t="s">
        <v>1266</v>
      </c>
      <c r="AD1" s="1759"/>
      <c r="AF1" s="1759" t="s">
        <v>1267</v>
      </c>
      <c r="AH1" s="1759" t="s">
        <v>1268</v>
      </c>
      <c r="AI1" s="1759" t="s">
        <v>1269</v>
      </c>
      <c r="AK1" s="1759" t="s">
        <v>1270</v>
      </c>
      <c r="AM1" s="1759" t="s">
        <v>1271</v>
      </c>
      <c r="AP1" s="1759" t="s">
        <v>1272</v>
      </c>
      <c r="AQ1" s="1759" t="s">
        <v>1273</v>
      </c>
      <c r="AS1" s="1759" t="s">
        <v>1274</v>
      </c>
      <c r="AU1" s="1759" t="s">
        <v>1275</v>
      </c>
      <c r="AW1" s="1759" t="s">
        <v>1276</v>
      </c>
      <c r="AX1" s="1759" t="s">
        <v>1277</v>
      </c>
      <c r="AZ1" s="1844" t="s">
        <v>1278</v>
      </c>
      <c r="BB1" s="1759" t="s">
        <v>1279</v>
      </c>
      <c r="BC1" s="1759"/>
      <c r="BE1" s="1759" t="s">
        <v>1280</v>
      </c>
      <c r="BF1" s="1759" t="s">
        <v>1281</v>
      </c>
      <c r="BH1" s="1761" t="s">
        <v>881</v>
      </c>
      <c r="BI1" s="1762"/>
      <c r="BJ1" s="1763" t="s">
        <v>1282</v>
      </c>
      <c r="BK1" s="1762"/>
      <c r="BL1" s="1764" t="s">
        <v>980</v>
      </c>
      <c r="BM1" s="1762"/>
      <c r="BN1" s="1765" t="s">
        <v>1283</v>
      </c>
      <c r="BS1" s="2119"/>
    </row>
    <row customHeight="1" ht="11.25">
      <c r="A2" s="1766" t="s">
        <v>1284</v>
      </c>
      <c r="B2" s="1767">
        <v>2000</v>
      </c>
      <c r="C2" s="1767">
        <v>2022</v>
      </c>
      <c r="D2" s="1767" t="s">
        <v>67</v>
      </c>
      <c r="E2" s="1768" t="s">
        <v>1285</v>
      </c>
      <c r="F2" s="1768" t="s">
        <v>1286</v>
      </c>
      <c r="G2" s="1768" t="s">
        <v>1287</v>
      </c>
      <c r="H2" s="1769" t="s">
        <v>56</v>
      </c>
      <c r="I2" s="1768" t="s">
        <v>118</v>
      </c>
      <c r="J2" s="1768" t="s">
        <v>1288</v>
      </c>
      <c r="K2" s="1770" t="s">
        <v>1289</v>
      </c>
      <c r="L2" s="1771"/>
      <c r="M2" s="1770">
        <v>1</v>
      </c>
      <c r="N2" s="1854" t="s">
        <v>1290</v>
      </c>
      <c r="O2" s="1769" t="s">
        <v>522</v>
      </c>
      <c r="P2" s="1772" t="s">
        <v>1291</v>
      </c>
      <c r="Q2" s="1773" t="s">
        <v>521</v>
      </c>
      <c r="R2" s="835" t="s">
        <v>1292</v>
      </c>
      <c r="S2" s="835" t="s">
        <v>1293</v>
      </c>
      <c r="T2" s="1774" t="s">
        <v>1294</v>
      </c>
      <c r="U2" s="1771" t="s">
        <v>1295</v>
      </c>
      <c r="V2" s="1775">
        <v>1</v>
      </c>
      <c r="W2" s="1776"/>
      <c r="X2" s="1776" t="s">
        <v>1296</v>
      </c>
      <c r="Y2" s="1767" t="s">
        <v>1297</v>
      </c>
      <c r="Z2" s="1777"/>
      <c r="AA2" s="1767" t="s">
        <v>1298</v>
      </c>
      <c r="AB2" s="1778" t="s">
        <v>1298</v>
      </c>
      <c r="AC2" s="1767" t="s">
        <v>1299</v>
      </c>
      <c r="AD2" s="1778" t="s">
        <v>1299</v>
      </c>
      <c r="AF2" s="1769" t="s">
        <v>1295</v>
      </c>
      <c r="AH2" s="1768" t="s">
        <v>1300</v>
      </c>
      <c r="AI2" s="1768" t="s">
        <v>1300</v>
      </c>
      <c r="AK2" s="1768" t="s">
        <v>1301</v>
      </c>
      <c r="AM2" s="1768" t="s">
        <v>1302</v>
      </c>
      <c r="AP2" s="1779" t="s">
        <v>1296</v>
      </c>
      <c r="AQ2" s="1780" t="s">
        <v>1296</v>
      </c>
      <c r="AS2" s="1767" t="s">
        <v>1303</v>
      </c>
      <c r="AU2" s="1812" t="s">
        <v>1304</v>
      </c>
      <c r="AW2" s="1812" t="s">
        <v>1305</v>
      </c>
      <c r="AX2" s="1812" t="s">
        <v>1305</v>
      </c>
      <c r="AZ2" s="1812" t="s">
        <v>54</v>
      </c>
      <c r="BB2" s="1812" t="s">
        <v>1306</v>
      </c>
      <c r="BC2" s="1812" t="s">
        <v>1307</v>
      </c>
      <c r="BE2" s="1812">
        <v>2000</v>
      </c>
      <c r="BF2" s="1812" t="s">
        <v>1308</v>
      </c>
    </row>
    <row customHeight="1" ht="11.25">
      <c r="A3" s="1766" t="s">
        <v>1309</v>
      </c>
      <c r="B3" s="1767">
        <v>2001</v>
      </c>
      <c r="C3" s="1767">
        <v>2023</v>
      </c>
      <c r="D3" s="1767" t="s">
        <v>19</v>
      </c>
      <c r="E3" s="1768" t="s">
        <v>1310</v>
      </c>
      <c r="F3" s="1768" t="s">
        <v>1311</v>
      </c>
      <c r="G3" s="1768" t="s">
        <v>1312</v>
      </c>
      <c r="H3" s="1769" t="s">
        <v>1313</v>
      </c>
      <c r="I3" s="1768" t="s">
        <v>103</v>
      </c>
      <c r="J3" s="1768" t="s">
        <v>630</v>
      </c>
      <c r="K3" s="1770" t="s">
        <v>1223</v>
      </c>
      <c r="L3" s="1771">
        <f>_xlfn.IFERROR(MATCH(K3,OFFER_METHOD,0),0)</f>
        <v>1</v>
      </c>
      <c r="M3" s="1770">
        <v>2</v>
      </c>
      <c r="N3" s="1854" t="s">
        <v>1314</v>
      </c>
      <c r="O3" s="1769" t="s">
        <v>1315</v>
      </c>
      <c r="P3" s="1772" t="s">
        <v>37</v>
      </c>
      <c r="Q3" s="1773" t="s">
        <v>520</v>
      </c>
      <c r="R3" s="835" t="s">
        <v>1316</v>
      </c>
      <c r="S3" s="835" t="s">
        <v>1317</v>
      </c>
      <c r="T3" s="1774" t="s">
        <v>1318</v>
      </c>
      <c r="U3" s="1771" t="s">
        <v>1319</v>
      </c>
      <c r="V3" s="1775">
        <v>2</v>
      </c>
      <c r="W3" s="1776"/>
      <c r="X3" s="1776" t="s">
        <v>1320</v>
      </c>
      <c r="Y3" s="1767" t="s">
        <v>1297</v>
      </c>
      <c r="Z3" s="1777"/>
      <c r="AA3" s="1767" t="s">
        <v>1321</v>
      </c>
      <c r="AB3" s="1778" t="s">
        <v>1321</v>
      </c>
      <c r="AC3" s="1767" t="s">
        <v>1322</v>
      </c>
      <c r="AD3" s="1778" t="s">
        <v>1322</v>
      </c>
      <c r="AF3" s="1769" t="s">
        <v>1319</v>
      </c>
      <c r="AH3" s="1768" t="s">
        <v>1323</v>
      </c>
      <c r="AI3" s="1768" t="s">
        <v>1324</v>
      </c>
      <c r="AK3" s="1768" t="s">
        <v>1325</v>
      </c>
      <c r="AM3" s="1768" t="s">
        <v>1326</v>
      </c>
      <c r="AP3" s="1779" t="s">
        <v>1327</v>
      </c>
      <c r="AQ3" s="1780" t="s">
        <v>1327</v>
      </c>
      <c r="AS3" s="1767" t="s">
        <v>1328</v>
      </c>
      <c r="AU3" s="1812" t="s">
        <v>1329</v>
      </c>
      <c r="AW3" s="1812" t="s">
        <v>1330</v>
      </c>
      <c r="AX3" s="1812" t="s">
        <v>1330</v>
      </c>
      <c r="AZ3" s="1812" t="s">
        <v>1331</v>
      </c>
      <c r="BB3" s="1812" t="s">
        <v>1332</v>
      </c>
      <c r="BC3" s="1812" t="s">
        <v>1307</v>
      </c>
      <c r="BE3" s="1812">
        <v>2001</v>
      </c>
      <c r="BF3" s="1812" t="s">
        <v>1333</v>
      </c>
      <c r="BH3" s="1759" t="s">
        <v>1334</v>
      </c>
      <c r="BJ3" s="1759" t="s">
        <v>1335</v>
      </c>
      <c r="BL3" s="1759" t="s">
        <v>1336</v>
      </c>
      <c r="BN3" s="1759" t="s">
        <v>1337</v>
      </c>
      <c r="BR3" s="1759" t="s">
        <v>1338</v>
      </c>
      <c r="BS3" s="2120"/>
      <c r="BT3" s="1762"/>
      <c r="BU3" s="1759" t="s">
        <v>1339</v>
      </c>
      <c r="BV3" s="1762"/>
      <c r="BW3" s="2382"/>
      <c r="BX3" s="2384" t="s">
        <v>1340</v>
      </c>
      <c r="CA3" s="1759" t="s">
        <v>1341</v>
      </c>
    </row>
    <row customHeight="1" ht="11.25">
      <c r="A4" s="1766" t="s">
        <v>1342</v>
      </c>
      <c r="B4" s="1767">
        <v>2002</v>
      </c>
      <c r="C4" s="1767">
        <v>2024</v>
      </c>
      <c r="E4" s="1768" t="s">
        <v>1343</v>
      </c>
      <c r="F4" s="1768" t="s">
        <v>1344</v>
      </c>
      <c r="H4" s="1769" t="s">
        <v>1345</v>
      </c>
      <c r="I4" s="1768" t="s">
        <v>91</v>
      </c>
      <c r="J4" s="1768" t="s">
        <v>1346</v>
      </c>
      <c r="K4" s="1770" t="s">
        <v>1347</v>
      </c>
      <c r="L4" s="1771">
        <f>_xlfn.IFERROR(MATCH(K4,OFFER_METHOD,0),0)</f>
        <v>0</v>
      </c>
      <c r="M4" s="1770">
        <v>3</v>
      </c>
      <c r="N4" s="1854" t="s">
        <v>1348</v>
      </c>
      <c r="O4" s="1768" t="s">
        <v>1349</v>
      </c>
      <c r="Q4" s="1773" t="s">
        <v>1350</v>
      </c>
      <c r="R4" s="835" t="s">
        <v>1351</v>
      </c>
      <c r="S4" s="835" t="s">
        <v>1352</v>
      </c>
      <c r="T4" s="1774" t="s">
        <v>1353</v>
      </c>
      <c r="U4" s="1771" t="s">
        <v>1354</v>
      </c>
      <c r="V4" s="1775">
        <v>3</v>
      </c>
      <c r="W4" s="1776"/>
      <c r="X4" s="1776" t="s">
        <v>1355</v>
      </c>
      <c r="Y4" s="1767" t="s">
        <v>1297</v>
      </c>
      <c r="Z4" s="1783"/>
      <c r="AC4" s="1767" t="s">
        <v>1356</v>
      </c>
      <c r="AD4" s="1778" t="s">
        <v>1356</v>
      </c>
      <c r="AF4" s="1769" t="s">
        <v>1354</v>
      </c>
      <c r="AH4" s="1769" t="s">
        <v>1357</v>
      </c>
      <c r="AK4" s="1768" t="s">
        <v>1358</v>
      </c>
      <c r="AM4" s="1768" t="s">
        <v>1359</v>
      </c>
      <c r="AP4" s="1779" t="s">
        <v>1320</v>
      </c>
      <c r="AQ4" s="1780" t="s">
        <v>1320</v>
      </c>
      <c r="AS4" s="1767" t="s">
        <v>1360</v>
      </c>
      <c r="AU4" s="1812" t="s">
        <v>1361</v>
      </c>
      <c r="AW4" s="1812" t="s">
        <v>1362</v>
      </c>
      <c r="AX4" s="1812" t="s">
        <v>1362</v>
      </c>
      <c r="AZ4" s="1812" t="s">
        <v>1363</v>
      </c>
      <c r="BB4" s="1812" t="s">
        <v>1364</v>
      </c>
      <c r="BC4" s="1812" t="s">
        <v>1365</v>
      </c>
      <c r="BE4" s="1812">
        <v>2002</v>
      </c>
      <c r="BF4" s="1812" t="s">
        <v>1366</v>
      </c>
      <c r="BH4" s="1760" t="s">
        <v>1367</v>
      </c>
      <c r="BJ4" s="1760" t="s">
        <v>1367</v>
      </c>
      <c r="BL4" s="1760" t="s">
        <v>1367</v>
      </c>
      <c r="BN4" s="1760" t="s">
        <v>1367</v>
      </c>
      <c r="BQ4" s="2124" t="s">
        <v>1368</v>
      </c>
      <c r="BR4" s="1851" t="s">
        <v>1369</v>
      </c>
      <c r="BS4" s="966"/>
      <c r="BT4" s="2124" t="s">
        <v>1370</v>
      </c>
      <c r="BU4" s="1851" t="s">
        <v>1371</v>
      </c>
      <c r="BV4" s="1762"/>
      <c r="BW4" s="2389" t="s">
        <v>1372</v>
      </c>
      <c r="BX4" s="2383" t="s">
        <v>1373</v>
      </c>
      <c r="BZ4" s="2124" t="s">
        <v>1374</v>
      </c>
      <c r="CA4" s="1851" t="s">
        <v>1375</v>
      </c>
    </row>
    <row customHeight="1" ht="11.25">
      <c r="A5" s="1766" t="s">
        <v>1376</v>
      </c>
      <c r="B5" s="1767">
        <v>2003</v>
      </c>
      <c r="C5" s="1767">
        <v>2025</v>
      </c>
      <c r="E5" s="1768" t="s">
        <v>1377</v>
      </c>
      <c r="F5" s="1768" t="s">
        <v>1378</v>
      </c>
      <c r="H5" s="1769" t="s">
        <v>1379</v>
      </c>
      <c r="I5" s="1768" t="s">
        <v>92</v>
      </c>
      <c r="K5" s="1770" t="s">
        <v>1380</v>
      </c>
      <c r="L5" s="1771">
        <f>_xlfn.IFERROR(MATCH(K5,OFFER_METHOD,0),0)</f>
        <v>0</v>
      </c>
      <c r="M5" s="1770">
        <v>4</v>
      </c>
      <c r="N5" s="1784" t="s">
        <v>1381</v>
      </c>
      <c r="O5" s="1768" t="s">
        <v>1382</v>
      </c>
      <c r="Q5" s="1773" t="s">
        <v>1383</v>
      </c>
      <c r="R5" s="835" t="s">
        <v>1384</v>
      </c>
      <c r="T5" s="1769" t="s">
        <v>1385</v>
      </c>
      <c r="U5" s="1771" t="s">
        <v>1386</v>
      </c>
      <c r="V5" s="1775">
        <v>4</v>
      </c>
      <c r="W5" s="1776"/>
      <c r="X5" s="1776" t="s">
        <v>220</v>
      </c>
      <c r="Y5" s="1767" t="s">
        <v>1387</v>
      </c>
      <c r="Z5" s="1783">
        <v>1</v>
      </c>
      <c r="AF5" s="1769" t="s">
        <v>1388</v>
      </c>
      <c r="AH5" s="1768" t="s">
        <v>1389</v>
      </c>
      <c r="AK5" s="1768" t="s">
        <v>1390</v>
      </c>
      <c r="AM5" s="1768" t="s">
        <v>1391</v>
      </c>
      <c r="AP5" s="1779" t="s">
        <v>220</v>
      </c>
      <c r="AQ5" s="1780" t="s">
        <v>220</v>
      </c>
      <c r="AU5" s="1812" t="s">
        <v>1392</v>
      </c>
      <c r="AW5" s="1812" t="s">
        <v>1393</v>
      </c>
      <c r="AX5" s="1812" t="s">
        <v>1393</v>
      </c>
      <c r="AZ5" s="1812" t="s">
        <v>1394</v>
      </c>
      <c r="BB5" s="1812" t="s">
        <v>1395</v>
      </c>
      <c r="BC5" s="1812" t="s">
        <v>1396</v>
      </c>
      <c r="BE5" s="1812">
        <v>2003</v>
      </c>
      <c r="BF5" s="1812" t="s">
        <v>1397</v>
      </c>
      <c r="BH5" s="1760" t="s">
        <v>1398</v>
      </c>
      <c r="BJ5" s="1760" t="s">
        <v>1398</v>
      </c>
      <c r="BL5" s="1760" t="s">
        <v>1398</v>
      </c>
      <c r="BN5" s="1760" t="s">
        <v>1399</v>
      </c>
      <c r="BQ5" s="1973">
        <v>4213775</v>
      </c>
      <c r="BR5" s="1760" t="s">
        <v>1296</v>
      </c>
      <c r="BS5" s="2121"/>
      <c r="BT5" s="1973">
        <v>64236871</v>
      </c>
      <c r="BU5" s="1760" t="s">
        <v>304</v>
      </c>
      <c r="BV5" s="1762"/>
      <c r="BW5" s="2387">
        <v>4213767</v>
      </c>
      <c r="BX5" s="2385" t="s">
        <v>1400</v>
      </c>
      <c r="BZ5" s="1973">
        <v>64237509</v>
      </c>
      <c r="CA5" s="1987" t="s">
        <v>1401</v>
      </c>
    </row>
    <row customHeight="1" ht="11.25">
      <c r="A6" s="1766" t="s">
        <v>1402</v>
      </c>
      <c r="B6" s="1767">
        <v>2004</v>
      </c>
      <c r="C6" s="1767">
        <v>2026</v>
      </c>
      <c r="E6" s="1768" t="s">
        <v>1403</v>
      </c>
      <c r="F6" s="1785"/>
      <c r="H6" s="1769" t="s">
        <v>1404</v>
      </c>
      <c r="I6" s="1768" t="s">
        <v>119</v>
      </c>
      <c r="J6" s="1759" t="s">
        <v>1405</v>
      </c>
      <c r="L6" s="1771">
        <f>SUM(kind_of_control_method_filter)</f>
        <v>1</v>
      </c>
      <c r="N6" s="1784" t="s">
        <v>1406</v>
      </c>
      <c r="O6" s="1768" t="s">
        <v>1407</v>
      </c>
      <c r="R6" s="835" t="s">
        <v>521</v>
      </c>
      <c r="T6" s="1769" t="s">
        <v>1408</v>
      </c>
      <c r="U6" s="1771" t="s">
        <v>1388</v>
      </c>
      <c r="V6" s="1775">
        <v>5</v>
      </c>
      <c r="W6" s="1776"/>
      <c r="X6" s="1767" t="s">
        <v>238</v>
      </c>
      <c r="Y6" s="1767" t="s">
        <v>1409</v>
      </c>
      <c r="Z6" s="1783"/>
      <c r="AA6" s="1786"/>
      <c r="AH6" s="1768" t="s">
        <v>1410</v>
      </c>
      <c r="AK6" s="1768" t="s">
        <v>1411</v>
      </c>
      <c r="AM6" s="1768" t="s">
        <v>1412</v>
      </c>
      <c r="AP6" s="1779" t="s">
        <v>238</v>
      </c>
      <c r="AQ6" s="1780" t="s">
        <v>238</v>
      </c>
      <c r="AU6" s="1812" t="s">
        <v>1413</v>
      </c>
      <c r="AW6" s="1812" t="s">
        <v>1414</v>
      </c>
      <c r="AX6" s="1812" t="s">
        <v>1414</v>
      </c>
      <c r="BB6" s="1812" t="s">
        <v>1415</v>
      </c>
      <c r="BC6" s="1812" t="s">
        <v>1396</v>
      </c>
      <c r="BE6" s="1812">
        <v>2004</v>
      </c>
      <c r="BF6" s="1812" t="s">
        <v>1416</v>
      </c>
      <c r="BH6" s="1760" t="s">
        <v>1417</v>
      </c>
      <c r="BJ6" s="1760" t="s">
        <v>1418</v>
      </c>
      <c r="BL6" s="1760" t="s">
        <v>1418</v>
      </c>
      <c r="BN6" s="1760" t="s">
        <v>1419</v>
      </c>
      <c r="BQ6" s="1973">
        <v>4213784</v>
      </c>
      <c r="BR6" s="1987" t="s">
        <v>1327</v>
      </c>
      <c r="BS6" s="2122"/>
      <c r="BT6" s="1973">
        <v>64236872</v>
      </c>
      <c r="BU6" s="1760" t="s">
        <v>309</v>
      </c>
      <c r="BV6" s="1762"/>
      <c r="BW6" s="2387">
        <v>4213768</v>
      </c>
      <c r="BX6" s="2385" t="s">
        <v>329</v>
      </c>
      <c r="BZ6" s="1973">
        <v>64237510</v>
      </c>
      <c r="CA6" s="1760" t="s">
        <v>1420</v>
      </c>
    </row>
    <row customHeight="1" ht="11.25">
      <c r="A7" s="1766" t="s">
        <v>1421</v>
      </c>
      <c r="B7" s="1767">
        <v>2005</v>
      </c>
      <c r="E7" s="1768" t="s">
        <v>1422</v>
      </c>
      <c r="F7" s="1785"/>
      <c r="H7" s="1769" t="s">
        <v>1423</v>
      </c>
      <c r="I7" s="1768" t="s">
        <v>93</v>
      </c>
      <c r="J7" s="1768" t="s">
        <v>1424</v>
      </c>
      <c r="N7" s="1788" t="s">
        <v>1425</v>
      </c>
      <c r="O7" s="1768" t="s">
        <v>1426</v>
      </c>
      <c r="U7" s="1771" t="s">
        <v>19</v>
      </c>
      <c r="V7" s="1062" t="s">
        <v>93</v>
      </c>
      <c r="W7" s="1776"/>
      <c r="X7" s="1767" t="s">
        <v>255</v>
      </c>
      <c r="Y7" s="1767" t="s">
        <v>1387</v>
      </c>
      <c r="Z7" s="1783"/>
      <c r="AA7" s="1786"/>
      <c r="AH7" s="1768" t="s">
        <v>1427</v>
      </c>
      <c r="AK7" s="1768" t="s">
        <v>1428</v>
      </c>
      <c r="AM7" s="1768" t="s">
        <v>1429</v>
      </c>
      <c r="AP7" s="1779" t="s">
        <v>255</v>
      </c>
      <c r="AQ7" s="1780" t="s">
        <v>255</v>
      </c>
      <c r="AU7" s="1812" t="s">
        <v>1430</v>
      </c>
      <c r="AW7" s="1812" t="s">
        <v>1431</v>
      </c>
      <c r="AX7" s="1812" t="s">
        <v>1431</v>
      </c>
      <c r="AZ7" s="1759" t="s">
        <v>1432</v>
      </c>
      <c r="BB7" s="1812" t="s">
        <v>1433</v>
      </c>
      <c r="BC7" s="1812" t="s">
        <v>1396</v>
      </c>
      <c r="BE7" s="1812">
        <v>2005</v>
      </c>
      <c r="BF7" s="1812" t="s">
        <v>1434</v>
      </c>
      <c r="BH7" s="1760" t="s">
        <v>1435</v>
      </c>
      <c r="BJ7" s="1760" t="s">
        <v>1417</v>
      </c>
      <c r="BL7" s="1760" t="s">
        <v>1417</v>
      </c>
      <c r="BN7" s="1760" t="s">
        <v>1436</v>
      </c>
      <c r="BQ7" s="1973">
        <v>4213781</v>
      </c>
      <c r="BR7" s="1760" t="s">
        <v>1320</v>
      </c>
      <c r="BS7" s="2121"/>
      <c r="BT7" s="1973">
        <v>64236873</v>
      </c>
      <c r="BU7" s="1760" t="s">
        <v>314</v>
      </c>
      <c r="BV7" s="1762"/>
      <c r="BW7" s="2387">
        <v>4213769</v>
      </c>
      <c r="BX7" s="2385" t="s">
        <v>1437</v>
      </c>
      <c r="BZ7" s="1973">
        <v>64237511</v>
      </c>
      <c r="CA7" s="1760" t="s">
        <v>344</v>
      </c>
    </row>
    <row customHeight="1" ht="11.25">
      <c r="A8" s="1766" t="s">
        <v>1438</v>
      </c>
      <c r="B8" s="1767">
        <v>2006</v>
      </c>
      <c r="E8" s="1768" t="s">
        <v>1439</v>
      </c>
      <c r="F8" s="1785"/>
      <c r="H8" s="1769" t="s">
        <v>1440</v>
      </c>
      <c r="I8" s="1768" t="s">
        <v>94</v>
      </c>
      <c r="J8" s="1768" t="s">
        <v>1441</v>
      </c>
      <c r="N8" s="1855" t="s">
        <v>1442</v>
      </c>
      <c r="O8" s="1768" t="s">
        <v>1443</v>
      </c>
      <c r="V8" s="1062" t="s">
        <v>94</v>
      </c>
      <c r="W8" s="1776"/>
      <c r="X8" s="1767" t="s">
        <v>261</v>
      </c>
      <c r="Y8" s="1767" t="s">
        <v>1387</v>
      </c>
      <c r="Z8" s="1783"/>
      <c r="AA8" s="1786"/>
      <c r="AK8" s="1768" t="s">
        <v>1444</v>
      </c>
      <c r="AP8" s="1779" t="s">
        <v>261</v>
      </c>
      <c r="AQ8" s="1780" t="s">
        <v>261</v>
      </c>
      <c r="AU8" s="1812" t="s">
        <v>1445</v>
      </c>
      <c r="AW8" s="1812" t="s">
        <v>1446</v>
      </c>
      <c r="AX8" s="1812" t="s">
        <v>1446</v>
      </c>
      <c r="AZ8" s="1812" t="s">
        <v>1447</v>
      </c>
      <c r="BB8" s="1812" t="s">
        <v>1448</v>
      </c>
      <c r="BC8" s="1812" t="s">
        <v>1396</v>
      </c>
      <c r="BE8" s="1812">
        <v>2006</v>
      </c>
      <c r="BF8" s="1812" t="s">
        <v>1449</v>
      </c>
      <c r="BH8" s="1760" t="s">
        <v>1450</v>
      </c>
      <c r="BJ8" s="1760" t="s">
        <v>1451</v>
      </c>
      <c r="BL8" s="1760" t="s">
        <v>1451</v>
      </c>
      <c r="BN8" s="1760" t="s">
        <v>1452</v>
      </c>
      <c r="BQ8" s="1973">
        <v>4213776</v>
      </c>
      <c r="BR8" s="1760" t="s">
        <v>220</v>
      </c>
      <c r="BS8" s="2121"/>
      <c r="BT8" s="1973">
        <v>64236874</v>
      </c>
      <c r="BU8" s="1987" t="s">
        <v>1453</v>
      </c>
      <c r="BV8" s="1762"/>
      <c r="BW8" s="2387">
        <v>4213770</v>
      </c>
      <c r="BX8" s="2388" t="s">
        <v>1454</v>
      </c>
      <c r="BZ8" s="1973">
        <v>64237512</v>
      </c>
      <c r="CA8" s="1760" t="s">
        <v>339</v>
      </c>
    </row>
    <row customHeight="1" ht="11.25">
      <c r="A9" s="1766" t="s">
        <v>1455</v>
      </c>
      <c r="B9" s="1767">
        <v>2007</v>
      </c>
      <c r="E9" s="1768" t="s">
        <v>1456</v>
      </c>
      <c r="F9" s="1785"/>
      <c r="G9" s="1759" t="s">
        <v>1457</v>
      </c>
      <c r="H9" s="1759" t="s">
        <v>1458</v>
      </c>
      <c r="I9" s="1768" t="s">
        <v>120</v>
      </c>
      <c r="O9" s="1768" t="s">
        <v>1459</v>
      </c>
      <c r="V9" s="1062" t="s">
        <v>120</v>
      </c>
      <c r="W9" s="1776"/>
      <c r="X9" s="1767" t="s">
        <v>267</v>
      </c>
      <c r="Y9" s="1767" t="s">
        <v>1297</v>
      </c>
      <c r="Z9" s="1783">
        <v>1</v>
      </c>
      <c r="AA9" s="1786"/>
      <c r="AK9" s="1768" t="s">
        <v>1460</v>
      </c>
      <c r="AP9" s="1779" t="s">
        <v>1461</v>
      </c>
      <c r="AQ9" s="1780" t="s">
        <v>1461</v>
      </c>
      <c r="AW9" s="1812" t="s">
        <v>1462</v>
      </c>
      <c r="AX9" s="1812" t="s">
        <v>1462</v>
      </c>
      <c r="AZ9" s="1812" t="s">
        <v>1463</v>
      </c>
      <c r="BB9" s="1812" t="s">
        <v>1464</v>
      </c>
      <c r="BC9" s="1812" t="s">
        <v>1396</v>
      </c>
      <c r="BE9" s="1812">
        <v>2007</v>
      </c>
      <c r="BF9" s="1812" t="s">
        <v>1465</v>
      </c>
      <c r="BH9" s="1760" t="s">
        <v>1466</v>
      </c>
      <c r="BJ9" s="1760" t="s">
        <v>1467</v>
      </c>
      <c r="BL9" s="1760" t="s">
        <v>1467</v>
      </c>
      <c r="BN9" s="1760" t="s">
        <v>1468</v>
      </c>
      <c r="BQ9" s="1973">
        <v>4213777</v>
      </c>
      <c r="BR9" s="1760" t="s">
        <v>238</v>
      </c>
      <c r="BS9" s="2121"/>
      <c r="BT9" s="1973">
        <v>64236875</v>
      </c>
      <c r="BU9" s="1760" t="s">
        <v>319</v>
      </c>
      <c r="BV9" s="1762"/>
      <c r="BW9" s="2382"/>
      <c r="BX9" s="2382"/>
    </row>
    <row customHeight="1" ht="11.25">
      <c r="A10" s="1766" t="s">
        <v>1469</v>
      </c>
      <c r="B10" s="1767">
        <v>2008</v>
      </c>
      <c r="E10" s="1768" t="s">
        <v>1470</v>
      </c>
      <c r="F10" s="1785"/>
      <c r="G10" s="1768" t="s">
        <v>1471</v>
      </c>
      <c r="H10" s="1768" t="s">
        <v>1472</v>
      </c>
      <c r="I10" s="1768" t="s">
        <v>156</v>
      </c>
      <c r="J10" s="1759" t="s">
        <v>1473</v>
      </c>
      <c r="K10" s="1759" t="s">
        <v>1474</v>
      </c>
      <c r="O10" s="1768" t="s">
        <v>1475</v>
      </c>
      <c r="V10" s="1063" t="s">
        <v>156</v>
      </c>
      <c r="W10" s="1789"/>
      <c r="X10" s="1789" t="s">
        <v>1476</v>
      </c>
      <c r="Y10" s="1790" t="s">
        <v>1477</v>
      </c>
      <c r="Z10" s="1783"/>
      <c r="AP10" s="1779" t="s">
        <v>1476</v>
      </c>
      <c r="AQ10" s="1780" t="s">
        <v>1476</v>
      </c>
      <c r="AW10" s="1812" t="s">
        <v>1478</v>
      </c>
      <c r="AX10" s="1812" t="s">
        <v>1478</v>
      </c>
      <c r="AZ10" s="1812" t="s">
        <v>1479</v>
      </c>
      <c r="BB10" s="1812" t="s">
        <v>1480</v>
      </c>
      <c r="BC10" s="1812" t="s">
        <v>1396</v>
      </c>
      <c r="BE10" s="1812">
        <v>2008</v>
      </c>
      <c r="BF10" s="1812" t="s">
        <v>1481</v>
      </c>
      <c r="BH10" s="1760" t="s">
        <v>1482</v>
      </c>
      <c r="BJ10" s="1760" t="s">
        <v>1483</v>
      </c>
      <c r="BL10" s="1760" t="s">
        <v>1483</v>
      </c>
      <c r="BN10" s="1760" t="s">
        <v>1484</v>
      </c>
      <c r="BQ10" s="1973">
        <v>4213778</v>
      </c>
      <c r="BR10" s="1760" t="s">
        <v>255</v>
      </c>
      <c r="BS10" s="2121"/>
      <c r="BT10" s="1973">
        <v>64236876</v>
      </c>
      <c r="BU10" s="1760" t="s">
        <v>299</v>
      </c>
      <c r="BV10" s="1762"/>
      <c r="BW10" s="2382"/>
      <c r="BX10" s="2382"/>
    </row>
    <row customHeight="1" ht="11.25">
      <c r="A11" s="1766" t="s">
        <v>1485</v>
      </c>
      <c r="B11" s="1767">
        <v>2009</v>
      </c>
      <c r="E11" s="1768" t="s">
        <v>1486</v>
      </c>
      <c r="F11" s="1785"/>
      <c r="G11" s="1768" t="s">
        <v>1487</v>
      </c>
      <c r="H11" s="1768" t="s">
        <v>1488</v>
      </c>
      <c r="I11" s="1768" t="s">
        <v>157</v>
      </c>
      <c r="J11" s="1769" t="s">
        <v>1489</v>
      </c>
      <c r="K11" s="1791" t="s">
        <v>1490</v>
      </c>
      <c r="O11" s="1769" t="s">
        <v>1491</v>
      </c>
      <c r="V11" s="1062" t="s">
        <v>157</v>
      </c>
      <c r="W11" s="967"/>
      <c r="X11" s="1776" t="s">
        <v>1461</v>
      </c>
      <c r="Y11" s="1767" t="s">
        <v>1492</v>
      </c>
      <c r="Z11" s="1783"/>
      <c r="AP11" s="1779" t="s">
        <v>267</v>
      </c>
      <c r="AQ11" s="1781" t="s">
        <v>267</v>
      </c>
      <c r="AW11" s="1812" t="s">
        <v>1493</v>
      </c>
      <c r="AX11" s="1812" t="s">
        <v>1493</v>
      </c>
      <c r="AZ11" s="1812" t="s">
        <v>1494</v>
      </c>
      <c r="BB11" s="1812" t="s">
        <v>1495</v>
      </c>
      <c r="BC11" s="1812" t="s">
        <v>1396</v>
      </c>
      <c r="BE11" s="1812">
        <v>2009</v>
      </c>
      <c r="BF11" s="1812" t="s">
        <v>1496</v>
      </c>
      <c r="BH11" s="1760" t="s">
        <v>1497</v>
      </c>
      <c r="BJ11" s="1760" t="s">
        <v>1466</v>
      </c>
      <c r="BL11" s="1760" t="s">
        <v>1466</v>
      </c>
      <c r="BN11" s="1760" t="s">
        <v>1498</v>
      </c>
      <c r="BQ11" s="1973">
        <v>4213780</v>
      </c>
      <c r="BR11" s="1760" t="s">
        <v>261</v>
      </c>
      <c r="BS11" s="2121"/>
      <c r="BW11" s="2382"/>
      <c r="BX11" s="2382"/>
    </row>
    <row customHeight="1" ht="11.25">
      <c r="A12" s="1766" t="s">
        <v>1499</v>
      </c>
      <c r="B12" s="1767">
        <v>2010</v>
      </c>
      <c r="E12" s="1768" t="s">
        <v>1500</v>
      </c>
      <c r="F12" s="1785"/>
      <c r="G12" s="1768" t="s">
        <v>1488</v>
      </c>
      <c r="I12" s="1768" t="s">
        <v>158</v>
      </c>
      <c r="J12" s="1769" t="s">
        <v>1501</v>
      </c>
      <c r="K12" s="1791" t="s">
        <v>1502</v>
      </c>
      <c r="O12" s="1769" t="s">
        <v>521</v>
      </c>
      <c r="V12" s="1062" t="s">
        <v>158</v>
      </c>
      <c r="W12" s="1781"/>
      <c r="X12" s="1776" t="s">
        <v>1503</v>
      </c>
      <c r="Y12" s="1767" t="s">
        <v>1297</v>
      </c>
      <c r="AP12" s="1779"/>
      <c r="AW12" s="1812" t="s">
        <v>157</v>
      </c>
      <c r="AX12" s="1812" t="s">
        <v>157</v>
      </c>
      <c r="AZ12" s="1812" t="s">
        <v>1504</v>
      </c>
      <c r="BB12" s="1812" t="s">
        <v>1505</v>
      </c>
      <c r="BC12" s="1812" t="s">
        <v>1396</v>
      </c>
      <c r="BE12" s="1812">
        <v>2010</v>
      </c>
      <c r="BF12" s="1812" t="s">
        <v>1506</v>
      </c>
      <c r="BH12" s="1760" t="s">
        <v>1507</v>
      </c>
      <c r="BJ12" s="1760" t="s">
        <v>1508</v>
      </c>
      <c r="BL12" s="1760" t="s">
        <v>1508</v>
      </c>
      <c r="BN12" s="1760" t="s">
        <v>1509</v>
      </c>
      <c r="BQ12" s="1973">
        <v>4213779</v>
      </c>
      <c r="BR12" s="1760" t="s">
        <v>1461</v>
      </c>
      <c r="BS12" s="2121"/>
      <c r="BT12" s="1762"/>
      <c r="BU12" s="1762"/>
      <c r="BV12" s="1762"/>
      <c r="BW12" s="2382"/>
      <c r="BX12" s="2382"/>
    </row>
    <row customHeight="1" ht="11.25">
      <c r="A13" s="1766" t="s">
        <v>1510</v>
      </c>
      <c r="B13" s="1767">
        <v>2011</v>
      </c>
      <c r="E13" s="1768" t="s">
        <v>1511</v>
      </c>
      <c r="F13" s="1785"/>
      <c r="I13" s="1768" t="s">
        <v>159</v>
      </c>
      <c r="K13" s="1791" t="s">
        <v>1460</v>
      </c>
      <c r="V13" s="1062" t="s">
        <v>159</v>
      </c>
      <c r="W13" s="1781"/>
      <c r="X13" s="1781"/>
      <c r="Y13" s="1781"/>
      <c r="AW13" s="1812" t="s">
        <v>158</v>
      </c>
      <c r="AX13" s="1812" t="s">
        <v>158</v>
      </c>
      <c r="BB13" s="1812" t="s">
        <v>1512</v>
      </c>
      <c r="BC13" s="1812" t="s">
        <v>1513</v>
      </c>
      <c r="BE13" s="1812">
        <v>2011</v>
      </c>
      <c r="BF13" s="1812" t="s">
        <v>1514</v>
      </c>
      <c r="BH13" s="1760" t="s">
        <v>1515</v>
      </c>
      <c r="BJ13" s="1760" t="s">
        <v>1497</v>
      </c>
      <c r="BL13" s="1760" t="s">
        <v>1497</v>
      </c>
      <c r="BN13" s="1760" t="s">
        <v>1516</v>
      </c>
      <c r="BQ13" s="1973">
        <v>4213783</v>
      </c>
      <c r="BR13" s="1760" t="s">
        <v>1476</v>
      </c>
      <c r="BS13" s="2121"/>
      <c r="BT13" s="1762"/>
      <c r="BU13" s="1762"/>
      <c r="BV13" s="1762"/>
      <c r="BW13" s="2386"/>
      <c r="BX13" s="2382"/>
    </row>
    <row customHeight="1" ht="11.25">
      <c r="A14" s="1766" t="s">
        <v>1517</v>
      </c>
      <c r="B14" s="1767">
        <v>2012</v>
      </c>
      <c r="I14" s="1768" t="s">
        <v>160</v>
      </c>
      <c r="J14" s="1759" t="s">
        <v>1518</v>
      </c>
      <c r="N14" s="1759" t="s">
        <v>1519</v>
      </c>
      <c r="V14" s="1775">
        <v>13</v>
      </c>
      <c r="W14" s="1776"/>
      <c r="X14" s="1776" t="s">
        <v>1327</v>
      </c>
      <c r="Y14" s="1767" t="s">
        <v>1297</v>
      </c>
      <c r="AW14" s="1812" t="s">
        <v>159</v>
      </c>
      <c r="AX14" s="1812" t="s">
        <v>159</v>
      </c>
      <c r="AZ14" s="1759" t="s">
        <v>1520</v>
      </c>
      <c r="BB14" s="1812" t="s">
        <v>1521</v>
      </c>
      <c r="BC14" s="1812" t="s">
        <v>1513</v>
      </c>
      <c r="BE14" s="1812">
        <v>2012</v>
      </c>
      <c r="BH14" s="1760" t="s">
        <v>1436</v>
      </c>
      <c r="BJ14" s="1909" t="s">
        <v>1522</v>
      </c>
      <c r="BL14" s="1909" t="s">
        <v>1522</v>
      </c>
      <c r="BN14" s="1760" t="s">
        <v>1523</v>
      </c>
      <c r="BQ14" s="1973">
        <v>4213782</v>
      </c>
      <c r="BR14" s="1760" t="s">
        <v>267</v>
      </c>
      <c r="BS14" s="2121"/>
      <c r="BT14" s="1762"/>
      <c r="BU14" s="1762"/>
      <c r="BV14" s="1762"/>
      <c r="BW14" s="2386"/>
      <c r="BX14" s="2382"/>
    </row>
    <row customHeight="1" ht="19.5">
      <c r="A15" s="1766" t="s">
        <v>1524</v>
      </c>
      <c r="B15" s="1767">
        <v>2013</v>
      </c>
      <c r="E15" s="2390" t="s">
        <v>1525</v>
      </c>
      <c r="G15" s="1759" t="s">
        <v>1526</v>
      </c>
      <c r="H15" s="1759" t="s">
        <v>1527</v>
      </c>
      <c r="I15" s="1770" t="s">
        <v>161</v>
      </c>
      <c r="J15" s="1781" t="s">
        <v>657</v>
      </c>
      <c r="N15" s="1850" t="s">
        <v>1528</v>
      </c>
      <c r="X15" s="1779"/>
      <c r="AW15" s="1812" t="s">
        <v>160</v>
      </c>
      <c r="AX15" s="1812" t="s">
        <v>160</v>
      </c>
      <c r="AZ15" s="1812" t="s">
        <v>1447</v>
      </c>
      <c r="BB15" s="1812" t="s">
        <v>1529</v>
      </c>
      <c r="BC15" s="1812" t="s">
        <v>1513</v>
      </c>
      <c r="BE15" s="1812">
        <v>2013</v>
      </c>
      <c r="BH15" s="1760" t="s">
        <v>1452</v>
      </c>
      <c r="BJ15" s="1909" t="s">
        <v>1530</v>
      </c>
      <c r="BL15" s="1909" t="s">
        <v>1530</v>
      </c>
      <c r="BN15" s="1760" t="s">
        <v>1531</v>
      </c>
      <c r="BR15" s="1762"/>
      <c r="BS15" s="2123"/>
      <c r="BT15" s="1762"/>
      <c r="BU15" s="1762"/>
      <c r="BV15" s="1762"/>
      <c r="BW15" s="2386"/>
      <c r="BX15" s="2382"/>
    </row>
    <row customHeight="1" ht="21">
      <c r="A16" s="2562" t="s">
        <v>1532</v>
      </c>
      <c r="B16" s="1767">
        <v>2014</v>
      </c>
      <c r="E16" s="2391" t="s">
        <v>1533</v>
      </c>
      <c r="G16" s="1768" t="s">
        <v>1534</v>
      </c>
      <c r="H16" s="1768" t="s">
        <v>1535</v>
      </c>
      <c r="I16" s="1770" t="s">
        <v>1536</v>
      </c>
      <c r="J16" s="1781" t="s">
        <v>630</v>
      </c>
      <c r="N16" s="1850" t="s">
        <v>1537</v>
      </c>
      <c r="AW16" s="1812" t="s">
        <v>161</v>
      </c>
      <c r="AX16" s="1812" t="s">
        <v>161</v>
      </c>
      <c r="AZ16" s="1812" t="s">
        <v>1463</v>
      </c>
      <c r="BB16" s="1812" t="s">
        <v>1538</v>
      </c>
      <c r="BC16" s="1812" t="s">
        <v>1513</v>
      </c>
      <c r="BE16" s="1812">
        <v>2014</v>
      </c>
      <c r="BH16" s="1760" t="s">
        <v>1468</v>
      </c>
      <c r="BJ16" s="1909" t="s">
        <v>1539</v>
      </c>
      <c r="BL16" s="1909" t="s">
        <v>1539</v>
      </c>
      <c r="BN16" s="1760" t="s">
        <v>1540</v>
      </c>
      <c r="BR16" s="1762"/>
      <c r="BS16" s="2123"/>
      <c r="BT16" s="1762"/>
      <c r="BU16" s="1762"/>
      <c r="BV16" s="1762"/>
      <c r="BW16" s="2386"/>
      <c r="BX16" s="2382"/>
    </row>
    <row customHeight="1" ht="21">
      <c r="A17" s="1766" t="s">
        <v>1541</v>
      </c>
      <c r="B17" s="1767">
        <v>2015</v>
      </c>
      <c r="G17" s="1768" t="s">
        <v>1488</v>
      </c>
      <c r="H17" s="1768" t="s">
        <v>1488</v>
      </c>
      <c r="I17" s="1768" t="s">
        <v>1542</v>
      </c>
      <c r="N17" s="1850" t="s">
        <v>1543</v>
      </c>
      <c r="X17" s="1779"/>
      <c r="AW17" s="1812" t="s">
        <v>1536</v>
      </c>
      <c r="AX17" s="1812" t="s">
        <v>1536</v>
      </c>
      <c r="AZ17" s="1812" t="s">
        <v>1544</v>
      </c>
      <c r="BB17" s="1812" t="s">
        <v>1545</v>
      </c>
      <c r="BC17" s="1812" t="s">
        <v>1396</v>
      </c>
      <c r="BE17" s="1812">
        <v>2015</v>
      </c>
      <c r="BH17" s="1760" t="s">
        <v>1484</v>
      </c>
      <c r="BJ17" s="1909" t="s">
        <v>1546</v>
      </c>
      <c r="BL17" s="1909" t="s">
        <v>1546</v>
      </c>
      <c r="BN17" s="1760" t="s">
        <v>1547</v>
      </c>
      <c r="BR17" s="1759" t="s">
        <v>1338</v>
      </c>
      <c r="BS17" s="2120"/>
      <c r="BU17" s="1759" t="s">
        <v>1548</v>
      </c>
      <c r="BV17" s="1762"/>
      <c r="BW17" s="2382"/>
      <c r="BX17" s="2384" t="s">
        <v>1549</v>
      </c>
      <c r="CA17" s="1759" t="s">
        <v>1550</v>
      </c>
      <c r="CD17" s="1759" t="s">
        <v>1551</v>
      </c>
    </row>
    <row customHeight="1" ht="21">
      <c r="A18" s="1766" t="s">
        <v>1552</v>
      </c>
      <c r="B18" s="1767">
        <v>2016</v>
      </c>
      <c r="E18" s="2697" t="s">
        <v>1553</v>
      </c>
      <c r="I18" s="1768" t="s">
        <v>1554</v>
      </c>
      <c r="N18" s="1850" t="s">
        <v>1555</v>
      </c>
      <c r="X18" s="1779"/>
      <c r="AW18" s="1812" t="s">
        <v>1542</v>
      </c>
      <c r="AX18" s="1812" t="s">
        <v>1542</v>
      </c>
      <c r="BB18" s="1812" t="s">
        <v>1556</v>
      </c>
      <c r="BC18" s="1812" t="s">
        <v>1396</v>
      </c>
      <c r="BE18" s="1812">
        <v>2016</v>
      </c>
      <c r="BH18" s="1760" t="s">
        <v>1498</v>
      </c>
      <c r="BJ18" s="1909" t="s">
        <v>1557</v>
      </c>
      <c r="BL18" s="1909" t="s">
        <v>1557</v>
      </c>
      <c r="BN18" s="1760" t="s">
        <v>1558</v>
      </c>
      <c r="BQ18" s="2124" t="s">
        <v>1368</v>
      </c>
      <c r="BR18" s="1851" t="s">
        <v>1369</v>
      </c>
      <c r="BS18" s="966"/>
      <c r="BT18" s="2124" t="s">
        <v>1559</v>
      </c>
      <c r="BU18" s="1851" t="s">
        <v>1560</v>
      </c>
      <c r="BV18" s="1762"/>
      <c r="BW18" s="2389" t="s">
        <v>1561</v>
      </c>
      <c r="BX18" s="2383" t="s">
        <v>1562</v>
      </c>
      <c r="BZ18" s="2124" t="s">
        <v>1563</v>
      </c>
      <c r="CA18" s="1851" t="s">
        <v>1564</v>
      </c>
      <c r="CC18" s="2124" t="s">
        <v>1565</v>
      </c>
      <c r="CD18" s="1851" t="s">
        <v>1566</v>
      </c>
    </row>
    <row customHeight="1" ht="21">
      <c r="A19" s="2562" t="s">
        <v>1567</v>
      </c>
      <c r="B19" s="1767">
        <v>2017</v>
      </c>
      <c r="E19" s="1766" t="s">
        <v>187</v>
      </c>
      <c r="I19" s="1768" t="s">
        <v>1568</v>
      </c>
      <c r="N19" s="1850" t="s">
        <v>1569</v>
      </c>
      <c r="X19" s="1779"/>
      <c r="AW19" s="1812" t="s">
        <v>1554</v>
      </c>
      <c r="AX19" s="1812" t="s">
        <v>1554</v>
      </c>
      <c r="AZ19" s="1759" t="s">
        <v>1570</v>
      </c>
      <c r="BB19" s="1812" t="s">
        <v>1571</v>
      </c>
      <c r="BC19" s="1812" t="s">
        <v>1396</v>
      </c>
      <c r="BE19" s="1812">
        <v>2017</v>
      </c>
      <c r="BH19" s="1760" t="s">
        <v>1572</v>
      </c>
      <c r="BJ19" s="1909" t="s">
        <v>1573</v>
      </c>
      <c r="BL19" s="1909" t="s">
        <v>1573</v>
      </c>
      <c r="BQ19" s="1973">
        <v>4190064</v>
      </c>
      <c r="BR19" s="1760" t="s">
        <v>1574</v>
      </c>
      <c r="BS19" s="2121"/>
      <c r="BT19" s="1973">
        <v>4189671</v>
      </c>
      <c r="BU19" s="1760" t="s">
        <v>1575</v>
      </c>
      <c r="BV19" s="1762"/>
      <c r="BW19" s="2387">
        <v>4189706</v>
      </c>
      <c r="BX19" s="2385" t="s">
        <v>1576</v>
      </c>
      <c r="BZ19" s="1973">
        <v>4189714</v>
      </c>
      <c r="CA19" s="1760" t="s">
        <v>1577</v>
      </c>
      <c r="CC19" s="1973">
        <v>4189708</v>
      </c>
      <c r="CD19" s="1760" t="s">
        <v>1578</v>
      </c>
    </row>
    <row customHeight="1" ht="21">
      <c r="A20" s="1766" t="s">
        <v>1579</v>
      </c>
      <c r="B20" s="1767">
        <v>2018</v>
      </c>
      <c r="E20" s="1766" t="s">
        <v>1327</v>
      </c>
      <c r="I20" s="1768" t="s">
        <v>1580</v>
      </c>
      <c r="N20" s="1850" t="s">
        <v>1581</v>
      </c>
      <c r="AW20" s="1812" t="s">
        <v>1568</v>
      </c>
      <c r="AX20" s="1812" t="s">
        <v>1568</v>
      </c>
      <c r="AZ20" s="1812" t="s">
        <v>1582</v>
      </c>
      <c r="BB20" s="1812" t="s">
        <v>1583</v>
      </c>
      <c r="BC20" s="1812" t="s">
        <v>1513</v>
      </c>
      <c r="BE20" s="1812">
        <v>2018</v>
      </c>
      <c r="BH20" s="1760" t="s">
        <v>1509</v>
      </c>
      <c r="BJ20" s="1760" t="s">
        <v>1436</v>
      </c>
      <c r="BL20" s="1760" t="s">
        <v>1436</v>
      </c>
      <c r="BQ20" s="1973">
        <v>4190065</v>
      </c>
      <c r="BR20" s="1760" t="s">
        <v>1584</v>
      </c>
      <c r="BS20" s="2121"/>
      <c r="BT20" s="1973">
        <v>4189672</v>
      </c>
      <c r="BU20" s="1760" t="s">
        <v>1585</v>
      </c>
      <c r="BV20" s="1762"/>
      <c r="BW20" s="2387">
        <v>4189705</v>
      </c>
      <c r="BX20" s="2385" t="s">
        <v>1586</v>
      </c>
      <c r="BZ20" s="1973">
        <v>4189713</v>
      </c>
      <c r="CA20" s="1760" t="s">
        <v>1586</v>
      </c>
      <c r="CC20" s="1973">
        <v>4189709</v>
      </c>
      <c r="CD20" s="1760" t="s">
        <v>1587</v>
      </c>
    </row>
    <row customHeight="1" ht="21">
      <c r="A21" s="1766" t="s">
        <v>1588</v>
      </c>
      <c r="B21" s="1767">
        <v>2019</v>
      </c>
      <c r="I21" s="1768" t="s">
        <v>1589</v>
      </c>
      <c r="N21" s="1850" t="s">
        <v>1590</v>
      </c>
      <c r="AW21" s="1812" t="s">
        <v>1580</v>
      </c>
      <c r="AX21" s="1812" t="s">
        <v>1580</v>
      </c>
      <c r="AZ21" s="1812" t="s">
        <v>1591</v>
      </c>
      <c r="BB21" s="1812" t="s">
        <v>1592</v>
      </c>
      <c r="BC21" s="1812" t="s">
        <v>1396</v>
      </c>
      <c r="BE21" s="1812">
        <v>2019</v>
      </c>
      <c r="BH21" s="1760" t="s">
        <v>1516</v>
      </c>
      <c r="BJ21" s="1760" t="s">
        <v>1452</v>
      </c>
      <c r="BL21" s="1760" t="s">
        <v>1452</v>
      </c>
      <c r="BQ21" s="1973">
        <v>4190066</v>
      </c>
      <c r="BR21" s="1760" t="s">
        <v>1593</v>
      </c>
      <c r="BS21" s="2121"/>
      <c r="BT21" s="1973">
        <v>4189673</v>
      </c>
      <c r="BU21" s="1760" t="s">
        <v>1594</v>
      </c>
      <c r="BV21" s="1762"/>
      <c r="BW21" s="2387">
        <v>4189707</v>
      </c>
      <c r="BX21" s="2385" t="s">
        <v>1595</v>
      </c>
      <c r="BZ21" s="1973">
        <v>4189712</v>
      </c>
      <c r="CA21" s="1760" t="s">
        <v>1596</v>
      </c>
      <c r="CC21" s="1973">
        <v>4189710</v>
      </c>
      <c r="CD21" s="1760" t="s">
        <v>1597</v>
      </c>
    </row>
    <row customHeight="1" ht="21">
      <c r="A22" s="1766" t="s">
        <v>1598</v>
      </c>
      <c r="B22" s="1767">
        <v>2020</v>
      </c>
      <c r="N22" s="1850" t="s">
        <v>1599</v>
      </c>
      <c r="AW22" s="1812" t="s">
        <v>1589</v>
      </c>
      <c r="AX22" s="1812" t="s">
        <v>1589</v>
      </c>
      <c r="AZ22" s="1812" t="s">
        <v>1600</v>
      </c>
      <c r="BB22" s="1812" t="s">
        <v>1601</v>
      </c>
      <c r="BC22" s="1812" t="s">
        <v>1396</v>
      </c>
      <c r="BE22" s="1812">
        <v>2020</v>
      </c>
      <c r="BH22" s="1760" t="s">
        <v>1523</v>
      </c>
      <c r="BJ22" s="1760" t="s">
        <v>1468</v>
      </c>
      <c r="BL22" s="1760" t="s">
        <v>1468</v>
      </c>
      <c r="BQ22" s="1973">
        <v>4190067</v>
      </c>
      <c r="BR22" s="1760" t="s">
        <v>1602</v>
      </c>
      <c r="BS22" s="2121"/>
      <c r="BT22" s="1973">
        <v>4189674</v>
      </c>
      <c r="BU22" s="1760" t="s">
        <v>1603</v>
      </c>
      <c r="BV22" s="1762"/>
      <c r="BW22" s="1762"/>
      <c r="CC22" s="1973">
        <v>4189711</v>
      </c>
      <c r="CD22" s="1760" t="s">
        <v>368</v>
      </c>
    </row>
    <row customHeight="1" ht="21">
      <c r="A23" s="1766" t="s">
        <v>1604</v>
      </c>
      <c r="B23" s="1767">
        <v>2021</v>
      </c>
      <c r="AW23" s="1812" t="s">
        <v>1605</v>
      </c>
      <c r="AX23" s="1812" t="s">
        <v>1605</v>
      </c>
      <c r="AZ23" s="1812" t="s">
        <v>1606</v>
      </c>
      <c r="BB23" s="1812" t="s">
        <v>1607</v>
      </c>
      <c r="BC23" s="1812" t="s">
        <v>1307</v>
      </c>
      <c r="BE23" s="1812">
        <v>2021</v>
      </c>
      <c r="BH23" s="1760" t="s">
        <v>1531</v>
      </c>
      <c r="BJ23" s="1760" t="s">
        <v>1484</v>
      </c>
      <c r="BL23" s="1760" t="s">
        <v>1484</v>
      </c>
      <c r="BQ23" s="1973">
        <v>4190068</v>
      </c>
      <c r="BR23" s="1760" t="s">
        <v>1608</v>
      </c>
      <c r="BS23" s="2121"/>
      <c r="BT23" s="1973">
        <v>4189675</v>
      </c>
      <c r="BU23" s="1760" t="s">
        <v>1609</v>
      </c>
      <c r="BV23" s="1762"/>
      <c r="BW23" s="1762"/>
      <c r="CC23" s="1973">
        <v>5110778</v>
      </c>
      <c r="CD23" s="1760" t="s">
        <v>1610</v>
      </c>
    </row>
    <row customHeight="1" ht="21">
      <c r="A24" s="1766" t="s">
        <v>1611</v>
      </c>
      <c r="B24" s="1767">
        <v>2022</v>
      </c>
      <c r="AW24" s="1812" t="s">
        <v>1612</v>
      </c>
      <c r="AX24" s="1812" t="s">
        <v>1612</v>
      </c>
      <c r="AZ24" s="1812" t="s">
        <v>1613</v>
      </c>
      <c r="BB24" s="1812" t="s">
        <v>1614</v>
      </c>
      <c r="BC24" s="1812" t="s">
        <v>1615</v>
      </c>
      <c r="BE24" s="1812">
        <v>2022</v>
      </c>
      <c r="BH24" s="1760" t="s">
        <v>1540</v>
      </c>
      <c r="BJ24" s="1760" t="s">
        <v>1498</v>
      </c>
      <c r="BL24" s="1760" t="s">
        <v>1498</v>
      </c>
      <c r="BQ24" s="1973">
        <v>4190069</v>
      </c>
      <c r="BR24" s="1760" t="s">
        <v>1616</v>
      </c>
      <c r="BS24" s="2121"/>
      <c r="BT24" s="1973">
        <v>4189676</v>
      </c>
      <c r="BU24" s="1760" t="s">
        <v>1617</v>
      </c>
      <c r="BV24" s="1762"/>
      <c r="BW24" s="1762"/>
      <c r="CC24" s="1973">
        <v>25575374</v>
      </c>
      <c r="CD24" s="1760" t="s">
        <v>1618</v>
      </c>
    </row>
    <row customHeight="1" ht="11.25">
      <c r="A25" s="1766" t="s">
        <v>1619</v>
      </c>
      <c r="B25" s="1767">
        <v>2023</v>
      </c>
      <c r="AW25" s="1812" t="s">
        <v>1620</v>
      </c>
      <c r="AX25" s="1812" t="s">
        <v>1620</v>
      </c>
      <c r="AZ25" s="1812" t="s">
        <v>1621</v>
      </c>
      <c r="BB25" s="1812" t="s">
        <v>1622</v>
      </c>
      <c r="BC25" s="1812" t="s">
        <v>1615</v>
      </c>
      <c r="BE25" s="1812">
        <v>2023</v>
      </c>
      <c r="BH25" s="1760" t="s">
        <v>1547</v>
      </c>
      <c r="BJ25" s="1760" t="s">
        <v>1572</v>
      </c>
      <c r="BL25" s="1760" t="s">
        <v>1572</v>
      </c>
      <c r="BQ25" s="1973">
        <v>4190070</v>
      </c>
      <c r="BR25" s="1760" t="s">
        <v>1623</v>
      </c>
      <c r="BS25" s="2121"/>
      <c r="BT25" s="1973">
        <v>4189677</v>
      </c>
      <c r="BU25" s="1760" t="s">
        <v>1624</v>
      </c>
      <c r="BV25" s="1762"/>
      <c r="BW25" s="1762"/>
    </row>
    <row customHeight="1" ht="11.25">
      <c r="A26" s="1766" t="s">
        <v>1625</v>
      </c>
      <c r="B26" s="1767">
        <v>2024</v>
      </c>
      <c r="J26" s="2423" t="s">
        <v>1626</v>
      </c>
      <c r="AX26" s="1812" t="s">
        <v>1627</v>
      </c>
      <c r="AZ26" s="1812" t="s">
        <v>1491</v>
      </c>
      <c r="BB26" s="1812" t="s">
        <v>1628</v>
      </c>
      <c r="BC26" s="1812" t="s">
        <v>1615</v>
      </c>
      <c r="BE26" s="1812">
        <v>2024</v>
      </c>
      <c r="BH26" s="1760" t="s">
        <v>1558</v>
      </c>
      <c r="BJ26" s="1760" t="s">
        <v>1509</v>
      </c>
      <c r="BL26" s="1760" t="s">
        <v>1509</v>
      </c>
      <c r="BQ26" s="1973">
        <v>4190071</v>
      </c>
      <c r="BR26" s="1760" t="s">
        <v>1629</v>
      </c>
      <c r="BS26" s="2121"/>
      <c r="BV26" s="1762"/>
      <c r="BW26" s="1762"/>
    </row>
    <row customHeight="1" ht="11.25">
      <c r="A27" s="1766" t="s">
        <v>1630</v>
      </c>
      <c r="B27" s="1767">
        <v>2025</v>
      </c>
      <c r="J27" s="868" t="s">
        <v>104</v>
      </c>
      <c r="AX27" s="1812" t="s">
        <v>1631</v>
      </c>
      <c r="BB27" s="1812" t="s">
        <v>1632</v>
      </c>
      <c r="BC27" s="1812" t="s">
        <v>1615</v>
      </c>
      <c r="BE27" s="1812">
        <v>2025</v>
      </c>
      <c r="BH27" s="1762" t="s">
        <v>28</v>
      </c>
      <c r="BJ27" s="1760" t="s">
        <v>1516</v>
      </c>
      <c r="BL27" s="1760" t="s">
        <v>1516</v>
      </c>
      <c r="BN27" s="1762" t="s">
        <v>28</v>
      </c>
      <c r="BQ27" s="1973">
        <v>4190072</v>
      </c>
      <c r="BR27" s="1760" t="s">
        <v>1633</v>
      </c>
      <c r="BS27" s="2121"/>
      <c r="BV27" s="1762"/>
      <c r="BW27" s="1762"/>
    </row>
    <row customHeight="1" ht="11.25">
      <c r="A28" s="1766" t="s">
        <v>1634</v>
      </c>
      <c r="D28" s="1793"/>
      <c r="E28" s="1794"/>
      <c r="F28" s="1794"/>
      <c r="H28" s="1795" t="s">
        <v>1635</v>
      </c>
      <c r="AX28" s="1812" t="s">
        <v>1636</v>
      </c>
      <c r="AZ28" s="1759" t="s">
        <v>1637</v>
      </c>
      <c r="BB28" s="1812" t="s">
        <v>1638</v>
      </c>
      <c r="BC28" s="1812" t="s">
        <v>1639</v>
      </c>
      <c r="BE28" s="1812">
        <v>2026</v>
      </c>
      <c r="BH28" s="1762" t="s">
        <v>28</v>
      </c>
      <c r="BJ28" s="1760" t="s">
        <v>1523</v>
      </c>
      <c r="BL28" s="1760" t="s">
        <v>1523</v>
      </c>
      <c r="BN28" s="1762" t="s">
        <v>28</v>
      </c>
      <c r="BQ28" s="1973">
        <v>4190073</v>
      </c>
      <c r="BR28" s="1760" t="s">
        <v>1640</v>
      </c>
      <c r="BS28" s="2121"/>
      <c r="BV28" s="1762"/>
      <c r="BW28" s="1762"/>
    </row>
    <row customHeight="1" ht="11.25">
      <c r="A29" s="1766" t="s">
        <v>1641</v>
      </c>
      <c r="D29" s="1796" t="s">
        <v>1642</v>
      </c>
      <c r="E29" s="1797" t="str">
        <f>IF(TEMPLATE_GROUP="","",INDEX(StartDateList,MATCH(TEMPLATE_GROUP,CodeTemplateList,0),1))</f>
        <v>01.01.2024</v>
      </c>
      <c r="F29" s="1797" t="str">
        <f>IF(TEMPLATE_GROUP="","",INDEX(EndDateList,MATCH(TEMPLATE_GROUP,CodeTemplateList,0),1))</f>
        <v>31.12.2028</v>
      </c>
      <c r="H29" s="1798" t="s">
        <v>1643</v>
      </c>
      <c r="AX29" s="1812" t="s">
        <v>1644</v>
      </c>
      <c r="AZ29" s="1812" t="s">
        <v>1292</v>
      </c>
      <c r="BB29" s="1812" t="s">
        <v>1491</v>
      </c>
      <c r="BC29" s="1783"/>
      <c r="BE29" s="1812">
        <v>2027</v>
      </c>
      <c r="BJ29" s="1760" t="s">
        <v>1531</v>
      </c>
      <c r="BL29" s="1760" t="s">
        <v>1531</v>
      </c>
    </row>
    <row customHeight="1" ht="11.25">
      <c r="A30" s="1766" t="s">
        <v>1645</v>
      </c>
      <c r="D30" s="1799"/>
      <c r="E30" s="1800"/>
      <c r="F30" s="1800"/>
      <c r="AX30" s="1812" t="s">
        <v>1646</v>
      </c>
      <c r="AZ30" s="1812" t="s">
        <v>1316</v>
      </c>
      <c r="BE30" s="1812">
        <v>2028</v>
      </c>
      <c r="BJ30" s="1760" t="s">
        <v>1647</v>
      </c>
      <c r="BL30" s="1760" t="s">
        <v>1647</v>
      </c>
    </row>
    <row customHeight="1" ht="12.75">
      <c r="A31" s="1766" t="s">
        <v>1648</v>
      </c>
      <c r="D31" s="1793"/>
      <c r="E31" s="1794"/>
      <c r="F31" s="1794"/>
      <c r="H31" s="1801"/>
      <c r="AX31" s="1812" t="s">
        <v>1649</v>
      </c>
      <c r="AZ31" s="1812" t="s">
        <v>1650</v>
      </c>
      <c r="BE31" s="1812">
        <v>2029</v>
      </c>
      <c r="BJ31" s="1760" t="s">
        <v>1651</v>
      </c>
      <c r="BL31" s="1760" t="s">
        <v>1651</v>
      </c>
    </row>
    <row customHeight="1" ht="11.25">
      <c r="A32" s="1766" t="s">
        <v>1652</v>
      </c>
      <c r="D32" s="1796" t="s">
        <v>1653</v>
      </c>
      <c r="E32" s="1797" t="str">
        <f>IF(TEMPLATE_GROUP="","",INDEX(StartDateList,MATCH(TEMPLATE_GROUP,CodeTemplateList,0),1))</f>
        <v>01.01.2024</v>
      </c>
      <c r="F32" s="1797" t="str">
        <f>IF(TEMPLATE_GROUP="","",INDEX(EndDateList,MATCH(TEMPLATE_GROUP,CodeTemplateList,0),1))</f>
        <v>31.12.2028</v>
      </c>
      <c r="H32" s="1802" t="s">
        <v>1654</v>
      </c>
      <c r="O32" s="1766" t="s">
        <v>522</v>
      </c>
      <c r="AX32" s="1812" t="s">
        <v>1655</v>
      </c>
      <c r="AZ32" s="1812" t="s">
        <v>1384</v>
      </c>
      <c r="BE32" s="1812">
        <v>2030</v>
      </c>
      <c r="BJ32" s="1760" t="s">
        <v>1540</v>
      </c>
      <c r="BL32" s="1760" t="s">
        <v>1540</v>
      </c>
    </row>
    <row customHeight="1" ht="11.25">
      <c r="A33" s="1766" t="s">
        <v>1656</v>
      </c>
      <c r="O33" s="1766" t="s">
        <v>1315</v>
      </c>
      <c r="AX33" s="1812" t="s">
        <v>1657</v>
      </c>
      <c r="AZ33" s="1812" t="s">
        <v>521</v>
      </c>
      <c r="BE33" s="1812">
        <v>2031</v>
      </c>
      <c r="BJ33" s="1760" t="s">
        <v>1547</v>
      </c>
      <c r="BL33" s="1760" t="s">
        <v>1547</v>
      </c>
    </row>
    <row customHeight="1" ht="11.25">
      <c r="A34" s="1766" t="s">
        <v>1658</v>
      </c>
      <c r="O34" s="1766" t="s">
        <v>1349</v>
      </c>
      <c r="AX34" s="1812" t="s">
        <v>1659</v>
      </c>
      <c r="BE34" s="1812">
        <v>2032</v>
      </c>
      <c r="BJ34" s="1760" t="s">
        <v>1558</v>
      </c>
      <c r="BL34" s="1760" t="s">
        <v>1558</v>
      </c>
    </row>
    <row customHeight="1" ht="11.25">
      <c r="A35" s="1766" t="s">
        <v>1660</v>
      </c>
      <c r="O35" s="1766" t="s">
        <v>1382</v>
      </c>
      <c r="AX35" s="1812" t="s">
        <v>1661</v>
      </c>
      <c r="AZ35" s="1759" t="s">
        <v>1662</v>
      </c>
      <c r="BE35" s="1812">
        <v>2033</v>
      </c>
      <c r="BL35" s="1760" t="s">
        <v>1663</v>
      </c>
    </row>
    <row customHeight="1" ht="11.25">
      <c r="A36" s="2562" t="s">
        <v>1664</v>
      </c>
      <c r="D36" s="1803" t="s">
        <v>1665</v>
      </c>
      <c r="E36" s="1804" t="s">
        <v>881</v>
      </c>
      <c r="F36" s="1805" t="str">
        <f>INDEX(E37:E41,MATCH(TEMPLATE_SPHERE,F37:F41,0))</f>
        <v>теплоснабжения</v>
      </c>
      <c r="G36" s="1805" t="str">
        <f>INDEX(G37:G41,MATCH(TEMPLATE_SPHERE,F37:F41,0))</f>
        <v>теплоснабжение</v>
      </c>
      <c r="O36" s="1766" t="s">
        <v>1407</v>
      </c>
      <c r="AX36" s="1812" t="s">
        <v>1666</v>
      </c>
      <c r="AZ36" s="1812" t="s">
        <v>521</v>
      </c>
      <c r="BE36" s="1812">
        <v>2034</v>
      </c>
      <c r="BL36" s="1760" t="s">
        <v>1667</v>
      </c>
    </row>
    <row customHeight="1" ht="11.25">
      <c r="A37" s="1766" t="s">
        <v>1668</v>
      </c>
      <c r="E37" s="1099" t="s">
        <v>1669</v>
      </c>
      <c r="F37" s="1806" t="s">
        <v>881</v>
      </c>
      <c r="G37" s="1099" t="s">
        <v>1670</v>
      </c>
      <c r="O37" s="1766" t="s">
        <v>1426</v>
      </c>
      <c r="AX37" s="1812" t="s">
        <v>1671</v>
      </c>
      <c r="AZ37" s="1812" t="s">
        <v>520</v>
      </c>
      <c r="BE37" s="1812">
        <v>2035</v>
      </c>
    </row>
    <row customHeight="1" ht="11.25">
      <c r="A38" s="1766" t="s">
        <v>1672</v>
      </c>
      <c r="E38" s="1099" t="s">
        <v>1673</v>
      </c>
      <c r="F38" s="1807" t="s">
        <v>927</v>
      </c>
      <c r="G38" s="1099" t="s">
        <v>1674</v>
      </c>
      <c r="O38" s="1766" t="s">
        <v>1443</v>
      </c>
      <c r="AX38" s="1812" t="s">
        <v>1675</v>
      </c>
      <c r="AZ38" s="1812" t="s">
        <v>1350</v>
      </c>
      <c r="BE38" s="1812">
        <v>2036</v>
      </c>
      <c r="BH38" s="1759" t="s">
        <v>1676</v>
      </c>
      <c r="BJ38" s="1759" t="s">
        <v>1677</v>
      </c>
      <c r="BL38" s="1759" t="s">
        <v>1678</v>
      </c>
      <c r="BN38" s="1759" t="s">
        <v>1679</v>
      </c>
    </row>
    <row customHeight="1" ht="11.25">
      <c r="A39" s="1766" t="s">
        <v>1680</v>
      </c>
      <c r="E39" s="1099" t="s">
        <v>1681</v>
      </c>
      <c r="F39" s="1807" t="s">
        <v>980</v>
      </c>
      <c r="G39" s="1099" t="s">
        <v>1682</v>
      </c>
      <c r="O39" s="1766" t="s">
        <v>1459</v>
      </c>
      <c r="AX39" s="1812" t="s">
        <v>1683</v>
      </c>
      <c r="AZ39" s="1812" t="s">
        <v>1383</v>
      </c>
      <c r="BE39" s="1812">
        <v>2037</v>
      </c>
      <c r="BH39" s="1760" t="s">
        <v>1684</v>
      </c>
      <c r="BJ39" s="1909" t="s">
        <v>1684</v>
      </c>
      <c r="BL39" s="1909" t="s">
        <v>1684</v>
      </c>
      <c r="BN39" s="1760" t="s">
        <v>1685</v>
      </c>
    </row>
    <row customHeight="1" ht="11.25">
      <c r="A40" s="1766" t="s">
        <v>1686</v>
      </c>
      <c r="E40" s="1099" t="s">
        <v>1687</v>
      </c>
      <c r="F40" s="1807" t="s">
        <v>967</v>
      </c>
      <c r="G40" s="1099" t="s">
        <v>1688</v>
      </c>
      <c r="O40" s="1766" t="s">
        <v>1475</v>
      </c>
      <c r="AX40" s="1812" t="s">
        <v>1689</v>
      </c>
      <c r="BE40" s="1812">
        <v>2038</v>
      </c>
      <c r="BH40" s="1760" t="s">
        <v>1690</v>
      </c>
      <c r="BJ40" s="1909" t="s">
        <v>1100</v>
      </c>
      <c r="BL40" s="1909" t="s">
        <v>1100</v>
      </c>
      <c r="BN40" s="1760" t="s">
        <v>1134</v>
      </c>
    </row>
    <row customHeight="1" ht="11.25">
      <c r="A41" s="1766" t="s">
        <v>1691</v>
      </c>
      <c r="E41" s="1099" t="s">
        <v>1692</v>
      </c>
      <c r="F41" s="1807" t="s">
        <v>1693</v>
      </c>
      <c r="G41" s="1099" t="s">
        <v>1692</v>
      </c>
      <c r="O41" s="1766" t="s">
        <v>1491</v>
      </c>
      <c r="AX41" s="1812" t="s">
        <v>1694</v>
      </c>
      <c r="AZ41" s="1759" t="s">
        <v>1695</v>
      </c>
      <c r="BE41" s="1812">
        <v>2039</v>
      </c>
      <c r="BH41" s="1760" t="s">
        <v>1696</v>
      </c>
      <c r="BJ41" s="1909" t="s">
        <v>1096</v>
      </c>
      <c r="BL41" s="1909" t="s">
        <v>1096</v>
      </c>
      <c r="BN41" s="1760" t="s">
        <v>1121</v>
      </c>
    </row>
    <row customHeight="1" ht="11.25">
      <c r="A42" s="1766" t="s">
        <v>1697</v>
      </c>
      <c r="AX42" s="1812" t="s">
        <v>1698</v>
      </c>
      <c r="AZ42" s="1812" t="s">
        <v>522</v>
      </c>
      <c r="BE42" s="1812">
        <v>2040</v>
      </c>
      <c r="BH42" s="1760" t="s">
        <v>1118</v>
      </c>
      <c r="BJ42" s="1909" t="s">
        <v>1098</v>
      </c>
      <c r="BL42" s="1909" t="s">
        <v>1098</v>
      </c>
      <c r="BN42" s="1760" t="s">
        <v>1699</v>
      </c>
    </row>
    <row customHeight="1" ht="11.25">
      <c r="A43" s="1766" t="s">
        <v>1700</v>
      </c>
      <c r="AX43" s="1812" t="s">
        <v>1701</v>
      </c>
      <c r="AZ43" s="1812" t="s">
        <v>1315</v>
      </c>
      <c r="BE43" s="1812">
        <v>2041</v>
      </c>
      <c r="BH43" s="1760" t="s">
        <v>1702</v>
      </c>
      <c r="BJ43" s="1909" t="s">
        <v>1696</v>
      </c>
      <c r="BL43" s="1909" t="s">
        <v>1696</v>
      </c>
      <c r="BN43" s="1760" t="s">
        <v>1703</v>
      </c>
    </row>
    <row customHeight="1" ht="11.25">
      <c r="A44" s="1766" t="s">
        <v>1704</v>
      </c>
      <c r="G44" s="1786">
        <f>YEAR(TODAY())</f>
        <v>2025</v>
      </c>
      <c r="I44" s="1491" t="s">
        <v>1705</v>
      </c>
      <c r="J44" s="1781" t="s">
        <v>1706</v>
      </c>
      <c r="K44" s="1781" t="s">
        <v>1707</v>
      </c>
      <c r="AX44" s="1812" t="s">
        <v>1708</v>
      </c>
      <c r="AZ44" s="1812" t="s">
        <v>1349</v>
      </c>
      <c r="BE44" s="1812">
        <v>2042</v>
      </c>
      <c r="BH44" s="1760" t="s">
        <v>1709</v>
      </c>
      <c r="BJ44" s="1909" t="s">
        <v>1118</v>
      </c>
      <c r="BL44" s="1909" t="s">
        <v>1118</v>
      </c>
      <c r="BN44" s="1760" t="s">
        <v>1710</v>
      </c>
    </row>
    <row customHeight="1" ht="11.25">
      <c r="A45" s="1766" t="s">
        <v>1711</v>
      </c>
      <c r="D45" s="1803" t="s">
        <v>1712</v>
      </c>
      <c r="E45" s="1804" t="s">
        <v>1713</v>
      </c>
      <c r="F45" s="1489" t="s">
        <v>1714</v>
      </c>
      <c r="G45" s="1488" t="s">
        <v>1715</v>
      </c>
      <c r="H45" s="1491" t="s">
        <v>1716</v>
      </c>
      <c r="I45" s="2433">
        <f>INDEX(PeriodIsEmptyList,MATCH(TEMPLATE_GROUP,CodeTemplateList,0),1)</f>
        <v>0</v>
      </c>
      <c r="J45" s="2436"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243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812" t="s">
        <v>1717</v>
      </c>
      <c r="AZ45" s="1812" t="s">
        <v>1382</v>
      </c>
      <c r="BE45" s="1812">
        <v>2043</v>
      </c>
      <c r="BH45" s="1760" t="s">
        <v>1718</v>
      </c>
      <c r="BJ45" s="1909" t="s">
        <v>1112</v>
      </c>
      <c r="BL45" s="1909" t="s">
        <v>1112</v>
      </c>
      <c r="BN45" s="1760" t="s">
        <v>1719</v>
      </c>
    </row>
    <row customHeight="1" ht="11.25">
      <c r="A46" s="1766" t="s">
        <v>1720</v>
      </c>
      <c r="E46" s="1099" t="s">
        <v>26</v>
      </c>
      <c r="F46" s="1806" t="s">
        <v>1721</v>
      </c>
      <c r="G46" s="1808" t="str">
        <f>_xlfn.IFERROR(IF(TITLE_DATE_FIL="","01.01."&amp;CURRENT_YEAR,"01.01."&amp;YEAR(TITLE_DATE_FIL)),"01.01."&amp;CURRENT_YEAR)</f>
        <v>01.01.2025</v>
      </c>
      <c r="H46" s="1808" t="str">
        <f>_xlfn.IFERROR(IF(TITLE_DATE_FIL="","31.12."&amp;CURRENT_YEAR,"31.12."&amp;YEAR(TITLE_DATE_FIL)),"31.12."&amp;CURRENT_YEAR)</f>
        <v>31.12.2025</v>
      </c>
      <c r="I46" s="2434">
        <f>IF(TITLE_DATE_FIL="",TRUE,FALSE)</f>
        <v>1</v>
      </c>
      <c r="J46" s="2437" t="str">
        <f>"Общая информация о регулируемой организации ("&amp;TEMPLATE_SPHERE_RUS&amp;")"</f>
        <v>Общая информация о регулируемой организации (теплоснабжения)</v>
      </c>
      <c r="K46" s="2438"/>
      <c r="AX46" s="1812" t="s">
        <v>1722</v>
      </c>
      <c r="AZ46" s="1812" t="s">
        <v>1407</v>
      </c>
      <c r="BE46" s="1812">
        <v>2044</v>
      </c>
      <c r="BH46" s="1760" t="s">
        <v>1121</v>
      </c>
      <c r="BJ46" s="1909" t="s">
        <v>1102</v>
      </c>
      <c r="BL46" s="1909" t="s">
        <v>1102</v>
      </c>
      <c r="BN46" s="1760" t="s">
        <v>1723</v>
      </c>
    </row>
    <row customHeight="1" ht="11.25">
      <c r="A47" s="1766" t="s">
        <v>1724</v>
      </c>
      <c r="E47" s="1099" t="s">
        <v>33</v>
      </c>
      <c r="F47" s="1807" t="s">
        <v>1725</v>
      </c>
      <c r="G47" s="1808" t="str">
        <f>_xlfn.IFERROR(IF(f_year="","01.01."&amp;CURRENT_YEAR,IF(LEN(f_quart)=0,"01.01."&amp;f_year,IF(f_quart="I квартал","01.01."&amp;f_year,IF(f_quart="II квартал","01.04."&amp;f_year,(IF(f_quart="III квартал","01.07."&amp;f_year,"01.10."&amp;f_year)))))),"01.01."&amp;CURRENT_YEAR)</f>
        <v>01.01.2025</v>
      </c>
      <c r="H47" s="1808" t="str">
        <f>_xlfn.IFERROR(IF(f_year="","31.12."&amp;CURRENT_YEAR,IF(LEN(f_quart)=0,"31.12."&amp;f_year,IF(f_quart="I квартал","31.03."&amp;f_year,IF(f_quart="II квартал","30.06."&amp;f_year,(IF(f_quart="III квартал","30.09."&amp;f_year,"31.12."&amp;f_year)))))),"31.12."&amp;CURRENT_YEAR)</f>
        <v>31.12.2025</v>
      </c>
      <c r="I47" s="2435">
        <f>IF(OR(f_year="",f_quart=""),TRUE,FALSE)</f>
        <v>1</v>
      </c>
      <c r="J47" s="243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438"/>
      <c r="AX47" s="1812" t="s">
        <v>1726</v>
      </c>
      <c r="AZ47" s="1812" t="s">
        <v>1426</v>
      </c>
      <c r="BE47" s="1812">
        <v>2045</v>
      </c>
      <c r="BH47" s="1760" t="s">
        <v>1699</v>
      </c>
      <c r="BJ47" s="1909" t="s">
        <v>1104</v>
      </c>
      <c r="BL47" s="1909" t="s">
        <v>1104</v>
      </c>
      <c r="BN47" s="1760" t="s">
        <v>1727</v>
      </c>
    </row>
    <row customHeight="1" ht="11.25">
      <c r="A48" s="1766" t="s">
        <v>1728</v>
      </c>
      <c r="E48" s="1099" t="s">
        <v>1729</v>
      </c>
      <c r="F48" s="1807" t="s">
        <v>1730</v>
      </c>
      <c r="G48" s="1808" t="str">
        <f>_xlfn.IFERROR(IF(f_year="","01.01."&amp;CURRENT_YEAR,"01.01."&amp;f_year),"01.01."&amp;CURRENT_YEAR)</f>
        <v>01.01.2025</v>
      </c>
      <c r="H48" s="1808" t="str">
        <f>_xlfn.IFERROR(IF(f_year="","31.12."&amp;CURRENT_YEAR,"31.12."&amp;f_year),"31.12."&amp;CURRENT_YEAR)</f>
        <v>31.12.2025</v>
      </c>
      <c r="I48" s="2434">
        <f>IF(f_year="",TRUE,FALSE)</f>
        <v>1</v>
      </c>
      <c r="J48" s="2437" t="s">
        <v>1731</v>
      </c>
      <c r="K48" s="2438"/>
      <c r="AX48" s="1812" t="s">
        <v>1732</v>
      </c>
      <c r="AZ48" s="1812" t="s">
        <v>1443</v>
      </c>
      <c r="BE48" s="1812">
        <v>2046</v>
      </c>
      <c r="BH48" s="1760" t="s">
        <v>1703</v>
      </c>
      <c r="BJ48" s="1909" t="s">
        <v>1106</v>
      </c>
      <c r="BL48" s="1909" t="s">
        <v>1106</v>
      </c>
      <c r="BN48" s="1760" t="s">
        <v>1733</v>
      </c>
    </row>
    <row customHeight="1" ht="11.25">
      <c r="A49" s="1766" t="s">
        <v>16</v>
      </c>
      <c r="E49" s="1099" t="s">
        <v>1734</v>
      </c>
      <c r="F49" s="1807" t="s">
        <v>1735</v>
      </c>
      <c r="G49" s="1808" t="str">
        <f>_xlfn.IFERROR(IF(f_year="","01.01."&amp;CURRENT_YEAR,"01.01."&amp;f_year),"01.01."&amp;CURRENT_YEAR)</f>
        <v>01.01.2025</v>
      </c>
      <c r="H49" s="1808" t="str">
        <f>_xlfn.IFERROR(IF(f_year="","31.12."&amp;CURRENT_YEAR,"31.12."&amp;f_year),"31.12."&amp;CURRENT_YEAR)</f>
        <v>31.12.2025</v>
      </c>
      <c r="I49" s="2434">
        <f>IF(f_year="",TRUE,FALSE)</f>
        <v>1</v>
      </c>
      <c r="J49" s="243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438"/>
      <c r="AX49" s="1812" t="s">
        <v>1736</v>
      </c>
      <c r="AZ49" s="1812" t="s">
        <v>1459</v>
      </c>
      <c r="BE49" s="1812">
        <v>2047</v>
      </c>
      <c r="BH49" s="1760" t="s">
        <v>1122</v>
      </c>
      <c r="BJ49" s="1909" t="s">
        <v>1108</v>
      </c>
      <c r="BL49" s="1909" t="s">
        <v>1108</v>
      </c>
    </row>
    <row customHeight="1" ht="11.25">
      <c r="A50" s="1766" t="s">
        <v>1737</v>
      </c>
      <c r="E50" s="1099" t="s">
        <v>1738</v>
      </c>
      <c r="F50" s="1807" t="s">
        <v>1092</v>
      </c>
      <c r="G50" s="1808" t="str">
        <f>_xlfn.IFERROR(IF(f_year="","01.01."&amp;CURRENT_YEAR,"01.01."&amp;f_year),"01.01."&amp;CURRENT_YEAR)</f>
        <v>01.01.2025</v>
      </c>
      <c r="H50" s="1808" t="str">
        <f>_xlfn.IFERROR(IF(f_year="","31.12."&amp;CURRENT_YEAR,"31.12."&amp;f_year),"31.12."&amp;CURRENT_YEAR)</f>
        <v>31.12.2025</v>
      </c>
      <c r="I50" s="2434">
        <f>IF(f_year="",TRUE,FALSE)</f>
        <v>1</v>
      </c>
      <c r="J50" s="243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438"/>
      <c r="AX50" s="1812" t="s">
        <v>1739</v>
      </c>
      <c r="AZ50" s="1812" t="s">
        <v>1475</v>
      </c>
      <c r="BE50" s="1812">
        <v>2048</v>
      </c>
      <c r="BH50" s="1760" t="s">
        <v>1710</v>
      </c>
      <c r="BJ50" s="1909" t="s">
        <v>1110</v>
      </c>
      <c r="BL50" s="1909" t="s">
        <v>1110</v>
      </c>
    </row>
    <row customHeight="1" ht="11.25">
      <c r="A51" s="1766" t="s">
        <v>1740</v>
      </c>
      <c r="E51" s="1099" t="s">
        <v>1741</v>
      </c>
      <c r="F51" s="1807" t="s">
        <v>1713</v>
      </c>
      <c r="G51" s="1808" t="str">
        <f>_xlfn.IFERROR(IF(TITLE_PERIOD_START="","01.01."&amp;CURRENT_YEAR,"01.01."&amp;YEAR(TITLE_PERIOD_START)),"01.01."&amp;CURRENT_YEAR)</f>
        <v>01.01.2024</v>
      </c>
      <c r="H51" s="1808" t="str">
        <f>_xlfn.IFERROR(IF(TITLE_PERIOD_END="","31.12."&amp;CURRENT_YEAR,"31.12."&amp;YEAR(TITLE_PERIOD_END)),"31.12."&amp;CURRENT_YEAR)</f>
        <v>31.12.2028</v>
      </c>
      <c r="I51" s="2435">
        <f>IF(OR(TITLE_PERIOD_START="",TITLE_PERIOD_END=""),TRUE,FALSE)</f>
        <v>0</v>
      </c>
      <c r="J51" s="243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438"/>
      <c r="AX51" s="1812" t="s">
        <v>1742</v>
      </c>
      <c r="AZ51" s="1812" t="s">
        <v>1491</v>
      </c>
      <c r="BE51" s="1812">
        <v>2049</v>
      </c>
      <c r="BH51" s="1760" t="s">
        <v>1719</v>
      </c>
      <c r="BJ51" s="1909" t="s">
        <v>1743</v>
      </c>
      <c r="BL51" s="1909" t="s">
        <v>1743</v>
      </c>
    </row>
    <row customHeight="1" ht="11.25">
      <c r="A52" s="1766" t="s">
        <v>1744</v>
      </c>
      <c r="E52" s="1099" t="s">
        <v>1745</v>
      </c>
      <c r="F52" s="1807" t="s">
        <v>1746</v>
      </c>
      <c r="G52" s="1808" t="str">
        <f>_xlfn.IFERROR(IF(TITLE_PERIOD_START="","01.01."&amp;CURRENT_YEAR,"01.01."&amp;YEAR(TITLE_PERIOD_START)),"01.01."&amp;CURRENT_YEAR)</f>
        <v>01.01.2024</v>
      </c>
      <c r="H52" s="1808" t="str">
        <f>_xlfn.IFERROR(IF(TITLE_PERIOD_END="","31.12."&amp;CURRENT_YEAR,"31.12."&amp;YEAR(TITLE_PERIOD_END)),"31.12."&amp;CURRENT_YEAR)</f>
        <v>31.12.2028</v>
      </c>
      <c r="I52" s="2435">
        <f>IF(OR(TITLE_PERIOD_START="",TITLE_PERIOD_END=""),TRUE,FALSE)</f>
        <v>0</v>
      </c>
      <c r="J52" s="2437" t="str">
        <f>"Показатели, подлежащие раскрытию в сфере "&amp;TEMPLATE_SPHERE_RUS&amp;" (цены и тарифы)"</f>
        <v>Показатели, подлежащие раскрытию в сфере теплоснабжения (цены и тарифы)</v>
      </c>
      <c r="K52" s="2438"/>
      <c r="AX52" s="1812" t="s">
        <v>1747</v>
      </c>
      <c r="AZ52" s="1812" t="s">
        <v>521</v>
      </c>
      <c r="BE52" s="1812">
        <v>2050</v>
      </c>
      <c r="BH52" s="1760" t="s">
        <v>1723</v>
      </c>
      <c r="BJ52" s="1909" t="s">
        <v>1121</v>
      </c>
      <c r="BL52" s="1909" t="s">
        <v>1121</v>
      </c>
    </row>
    <row customHeight="1" ht="11.25">
      <c r="A53" s="1766" t="s">
        <v>1748</v>
      </c>
      <c r="E53" s="1099" t="s">
        <v>1749</v>
      </c>
      <c r="F53" s="1807" t="s">
        <v>1749</v>
      </c>
      <c r="G53" s="1808" t="str">
        <f>_xlfn.IFERROR(IF(f_year="","01.01."&amp;CURRENT_YEAR,"01.01."&amp;f_year),"01.01."&amp;CURRENT_YEAR)</f>
        <v>01.01.2025</v>
      </c>
      <c r="H53" s="1808" t="str">
        <f>_xlfn.IFERROR(IF(f_year="","31.12."&amp;CURRENT_YEAR,"31.12."&amp;f_year),"31.12."&amp;CURRENT_YEAR)</f>
        <v>31.12.2025</v>
      </c>
      <c r="I53" s="2434">
        <f>IF(AND(f_year="",TITLE_DATE_FIL=""),TRUE,FALSE)</f>
        <v>1</v>
      </c>
      <c r="J53" s="2437" t="s">
        <v>1750</v>
      </c>
      <c r="K53" s="2438"/>
      <c r="AX53" s="1812" t="s">
        <v>1751</v>
      </c>
      <c r="BE53" s="1812">
        <v>2051</v>
      </c>
      <c r="BH53" s="1760" t="s">
        <v>1727</v>
      </c>
      <c r="BJ53" s="1909" t="s">
        <v>1699</v>
      </c>
      <c r="BL53" s="1909" t="s">
        <v>1699</v>
      </c>
    </row>
    <row customHeight="1" ht="11.25">
      <c r="A54" s="1766" t="s">
        <v>1752</v>
      </c>
      <c r="AX54" s="1812" t="s">
        <v>1753</v>
      </c>
      <c r="AZ54" s="1759" t="s">
        <v>1754</v>
      </c>
      <c r="BE54" s="1812">
        <v>2052</v>
      </c>
      <c r="BH54" s="1760" t="s">
        <v>1733</v>
      </c>
      <c r="BJ54" s="1909" t="s">
        <v>1703</v>
      </c>
      <c r="BL54" s="1909" t="s">
        <v>1703</v>
      </c>
    </row>
    <row customHeight="1" ht="11.25">
      <c r="A55" s="1766" t="s">
        <v>1755</v>
      </c>
      <c r="AX55" s="1812" t="s">
        <v>1756</v>
      </c>
      <c r="AZ55" s="1812" t="s">
        <v>1293</v>
      </c>
      <c r="BE55" s="1812">
        <v>2053</v>
      </c>
      <c r="BH55" s="1762" t="s">
        <v>28</v>
      </c>
      <c r="BJ55" s="1909" t="s">
        <v>1122</v>
      </c>
      <c r="BL55" s="1909" t="s">
        <v>1122</v>
      </c>
    </row>
    <row customHeight="1" ht="11.25">
      <c r="A56" s="1766" t="s">
        <v>1757</v>
      </c>
      <c r="D56" s="1810" t="s">
        <v>1758</v>
      </c>
      <c r="E56" s="1787" t="s">
        <v>1759</v>
      </c>
      <c r="F56" s="1766" t="s">
        <v>1760</v>
      </c>
      <c r="AX56" s="1812" t="s">
        <v>109</v>
      </c>
      <c r="AZ56" s="1812" t="s">
        <v>1317</v>
      </c>
      <c r="BE56" s="1812">
        <v>2054</v>
      </c>
      <c r="BH56" s="1762" t="s">
        <v>28</v>
      </c>
      <c r="BJ56" s="1909" t="s">
        <v>1710</v>
      </c>
      <c r="BL56" s="1909" t="s">
        <v>1710</v>
      </c>
    </row>
    <row customHeight="1" ht="11.25">
      <c r="A57" s="1766" t="s">
        <v>1761</v>
      </c>
      <c r="D57" s="1810" t="s">
        <v>1762</v>
      </c>
      <c r="E57" s="1787" t="s">
        <v>119</v>
      </c>
      <c r="F57" s="1766" t="s">
        <v>1760</v>
      </c>
      <c r="AX57" s="1812" t="s">
        <v>1763</v>
      </c>
      <c r="AZ57" s="1812" t="s">
        <v>1352</v>
      </c>
      <c r="BE57" s="1812">
        <v>2055</v>
      </c>
      <c r="BJ57" s="1909" t="s">
        <v>1719</v>
      </c>
      <c r="BL57" s="1909" t="s">
        <v>1719</v>
      </c>
    </row>
    <row customHeight="1" ht="11.25">
      <c r="A58" s="1766" t="s">
        <v>1764</v>
      </c>
      <c r="D58" s="1810" t="s">
        <v>1765</v>
      </c>
      <c r="E58" s="1787" t="s">
        <v>119</v>
      </c>
      <c r="F58" s="1766" t="s">
        <v>1760</v>
      </c>
      <c r="AX58" s="1812" t="s">
        <v>1766</v>
      </c>
      <c r="BE58" s="1812">
        <v>2056</v>
      </c>
      <c r="BJ58" s="1909" t="s">
        <v>1723</v>
      </c>
      <c r="BL58" s="1909" t="s">
        <v>1723</v>
      </c>
    </row>
    <row customHeight="1" ht="11.25">
      <c r="A59" s="1766" t="s">
        <v>1767</v>
      </c>
      <c r="D59" s="1810" t="s">
        <v>139</v>
      </c>
      <c r="E59" s="1787" t="s">
        <v>1655</v>
      </c>
      <c r="F59" s="1766" t="s">
        <v>1768</v>
      </c>
      <c r="AX59" s="1812" t="s">
        <v>1769</v>
      </c>
      <c r="AZ59" s="1759" t="s">
        <v>1770</v>
      </c>
      <c r="BE59" s="1812">
        <v>2057</v>
      </c>
      <c r="BJ59" s="1909" t="s">
        <v>1727</v>
      </c>
      <c r="BL59" s="1909" t="s">
        <v>1727</v>
      </c>
    </row>
    <row customHeight="1" ht="11.25">
      <c r="A60" s="1766" t="s">
        <v>1771</v>
      </c>
      <c r="D60" s="1810" t="s">
        <v>1772</v>
      </c>
      <c r="E60" s="1787" t="s">
        <v>1655</v>
      </c>
      <c r="F60" s="1766" t="s">
        <v>1768</v>
      </c>
      <c r="AX60" s="1812" t="s">
        <v>1773</v>
      </c>
      <c r="AZ60" s="1812" t="s">
        <v>1294</v>
      </c>
      <c r="BE60" s="1812">
        <v>2058</v>
      </c>
      <c r="BJ60" s="1909" t="s">
        <v>1733</v>
      </c>
      <c r="BL60" s="1909" t="s">
        <v>1733</v>
      </c>
    </row>
    <row customHeight="1" ht="11.25">
      <c r="A61" s="1766" t="s">
        <v>1774</v>
      </c>
      <c r="D61" s="1810" t="s">
        <v>1775</v>
      </c>
      <c r="E61" s="1787" t="s">
        <v>1776</v>
      </c>
      <c r="F61" s="1766" t="s">
        <v>1768</v>
      </c>
      <c r="AX61" s="1812" t="s">
        <v>1777</v>
      </c>
      <c r="AZ61" s="1812" t="s">
        <v>1318</v>
      </c>
      <c r="BE61" s="1812">
        <v>2059</v>
      </c>
      <c r="BL61" s="1909" t="s">
        <v>1114</v>
      </c>
    </row>
    <row customHeight="1" ht="11.25">
      <c r="A62" s="1766" t="s">
        <v>1778</v>
      </c>
      <c r="D62" s="1810" t="s">
        <v>138</v>
      </c>
      <c r="E62" s="1787">
        <v>41</v>
      </c>
      <c r="F62" s="1766" t="s">
        <v>1768</v>
      </c>
      <c r="AZ62" s="1812" t="s">
        <v>1353</v>
      </c>
      <c r="BE62" s="1812">
        <v>2060</v>
      </c>
      <c r="BL62" s="1909" t="s">
        <v>1116</v>
      </c>
    </row>
    <row customHeight="1" ht="11.25">
      <c r="A63" s="1766" t="s">
        <v>1779</v>
      </c>
      <c r="D63" s="1810" t="s">
        <v>1780</v>
      </c>
      <c r="E63" s="1787">
        <v>41</v>
      </c>
      <c r="F63" s="1766" t="s">
        <v>1768</v>
      </c>
      <c r="AZ63" s="1812" t="s">
        <v>1385</v>
      </c>
      <c r="BE63" s="1812">
        <v>2061</v>
      </c>
    </row>
    <row customHeight="1" ht="11.25">
      <c r="A64" s="1766" t="s">
        <v>1781</v>
      </c>
      <c r="D64" s="1810" t="s">
        <v>1782</v>
      </c>
      <c r="E64" s="1787">
        <v>41</v>
      </c>
      <c r="F64" s="1766" t="s">
        <v>1768</v>
      </c>
      <c r="AZ64" s="1812" t="s">
        <v>1408</v>
      </c>
      <c r="BE64" s="1812">
        <v>2062</v>
      </c>
    </row>
    <row customHeight="1" ht="11.25">
      <c r="A65" s="1766" t="s">
        <v>1783</v>
      </c>
      <c r="D65" s="1766"/>
      <c r="BE65" s="1812">
        <v>2063</v>
      </c>
    </row>
    <row customHeight="1" ht="11.25">
      <c r="A66" s="1766" t="s">
        <v>1784</v>
      </c>
      <c r="AZ66" s="1759" t="s">
        <v>1785</v>
      </c>
      <c r="BE66" s="1812">
        <v>2064</v>
      </c>
    </row>
    <row customHeight="1" ht="11.25">
      <c r="A67" s="1766" t="s">
        <v>1786</v>
      </c>
      <c r="AZ67" s="1812" t="s">
        <v>1295</v>
      </c>
      <c r="BE67" s="1812">
        <v>2065</v>
      </c>
    </row>
    <row customHeight="1" ht="11.25">
      <c r="A68" s="1766" t="s">
        <v>1787</v>
      </c>
      <c r="AZ68" s="1812" t="s">
        <v>1319</v>
      </c>
      <c r="BE68" s="1812">
        <v>2066</v>
      </c>
      <c r="BH68" s="1759" t="s">
        <v>1788</v>
      </c>
      <c r="BJ68" s="1759" t="s">
        <v>1789</v>
      </c>
      <c r="BL68" s="1759" t="s">
        <v>1790</v>
      </c>
      <c r="BN68" s="1759" t="s">
        <v>1791</v>
      </c>
    </row>
    <row customHeight="1" ht="11.25">
      <c r="A69" s="1766" t="s">
        <v>1792</v>
      </c>
      <c r="AZ69" s="1812" t="s">
        <v>1354</v>
      </c>
      <c r="BE69" s="1812">
        <v>2067</v>
      </c>
      <c r="BH69" s="1760" t="s">
        <v>1793</v>
      </c>
      <c r="BI69" s="1809" t="s">
        <v>118</v>
      </c>
      <c r="BJ69" s="1760" t="s">
        <v>1794</v>
      </c>
      <c r="BK69" s="1809" t="s">
        <v>118</v>
      </c>
      <c r="BL69" s="1760" t="s">
        <v>1795</v>
      </c>
      <c r="BM69" s="1762" t="s">
        <v>118</v>
      </c>
      <c r="BN69" s="1760" t="s">
        <v>1796</v>
      </c>
    </row>
    <row customHeight="1" ht="11.25">
      <c r="A70" s="1766" t="s">
        <v>1797</v>
      </c>
      <c r="AZ70" s="1812" t="s">
        <v>1386</v>
      </c>
      <c r="BE70" s="1812">
        <v>2068</v>
      </c>
      <c r="BH70" s="1760" t="s">
        <v>1798</v>
      </c>
      <c r="BJ70" s="1760" t="s">
        <v>1799</v>
      </c>
      <c r="BL70" s="1760" t="s">
        <v>1800</v>
      </c>
      <c r="BN70" s="1760" t="s">
        <v>1801</v>
      </c>
    </row>
    <row customHeight="1" ht="11.25">
      <c r="A71" s="1766" t="s">
        <v>1802</v>
      </c>
      <c r="AZ71" s="1812" t="s">
        <v>1388</v>
      </c>
      <c r="BE71" s="1812">
        <v>2069</v>
      </c>
      <c r="BH71" s="1760" t="s">
        <v>1803</v>
      </c>
      <c r="BI71" s="1809" t="s">
        <v>91</v>
      </c>
      <c r="BJ71" s="1760" t="s">
        <v>1804</v>
      </c>
      <c r="BK71" s="1809" t="s">
        <v>91</v>
      </c>
      <c r="BL71" s="1760" t="s">
        <v>1805</v>
      </c>
      <c r="BM71" s="1762" t="s">
        <v>91</v>
      </c>
      <c r="BN71" s="1760" t="s">
        <v>1806</v>
      </c>
    </row>
    <row customHeight="1" ht="11.25">
      <c r="A72" s="1766" t="s">
        <v>1807</v>
      </c>
      <c r="AZ72" s="1812" t="s">
        <v>19</v>
      </c>
      <c r="BE72" s="1812">
        <v>2070</v>
      </c>
      <c r="BH72" s="1760" t="s">
        <v>1808</v>
      </c>
      <c r="BJ72" s="1760" t="s">
        <v>1808</v>
      </c>
      <c r="BL72" s="1760" t="s">
        <v>1808</v>
      </c>
      <c r="BN72" s="1760" t="s">
        <v>1809</v>
      </c>
    </row>
    <row customHeight="1" ht="11.25">
      <c r="A73" s="1766" t="s">
        <v>1810</v>
      </c>
      <c r="BH73" s="1760" t="s">
        <v>1811</v>
      </c>
      <c r="BI73" s="1809" t="s">
        <v>119</v>
      </c>
      <c r="BJ73" s="1760" t="s">
        <v>1812</v>
      </c>
      <c r="BK73" s="1809" t="s">
        <v>119</v>
      </c>
      <c r="BL73" s="1760" t="s">
        <v>1813</v>
      </c>
      <c r="BM73" s="1762" t="s">
        <v>119</v>
      </c>
      <c r="BN73" s="1760" t="s">
        <v>1814</v>
      </c>
    </row>
    <row customHeight="1" ht="11.25">
      <c r="A74" s="1766" t="s">
        <v>1815</v>
      </c>
      <c r="BH74" s="1760" t="s">
        <v>1816</v>
      </c>
      <c r="BJ74" s="1760" t="s">
        <v>1817</v>
      </c>
      <c r="BL74" s="1760" t="s">
        <v>1818</v>
      </c>
      <c r="BN74" s="1760" t="s">
        <v>1819</v>
      </c>
    </row>
    <row customHeight="1" ht="11.25">
      <c r="A75" s="1766" t="s">
        <v>1820</v>
      </c>
      <c r="AZ75" s="1759" t="s">
        <v>1821</v>
      </c>
      <c r="BH75" s="1760" t="s">
        <v>1822</v>
      </c>
      <c r="BJ75" s="1760" t="s">
        <v>1822</v>
      </c>
      <c r="BL75" s="1760" t="s">
        <v>1822</v>
      </c>
    </row>
    <row customHeight="1" ht="11.25">
      <c r="A76" s="1766" t="s">
        <v>1823</v>
      </c>
      <c r="AZ76" s="1812" t="s">
        <v>1304</v>
      </c>
      <c r="BH76" s="1760" t="s">
        <v>1824</v>
      </c>
      <c r="BJ76" s="1760" t="s">
        <v>1825</v>
      </c>
      <c r="BL76" s="1760" t="s">
        <v>1826</v>
      </c>
    </row>
    <row customHeight="1" ht="11.25">
      <c r="A77" s="1766" t="s">
        <v>1827</v>
      </c>
      <c r="AZ77" s="1812" t="s">
        <v>1329</v>
      </c>
    </row>
    <row customHeight="1" ht="11.25">
      <c r="A78" s="1766" t="s">
        <v>1828</v>
      </c>
      <c r="AZ78" s="1812" t="s">
        <v>1361</v>
      </c>
    </row>
    <row customHeight="1" ht="11.25">
      <c r="A79" s="1766" t="s">
        <v>1829</v>
      </c>
      <c r="AZ79" s="1812" t="s">
        <v>1392</v>
      </c>
      <c r="BH79" s="1759" t="s">
        <v>1830</v>
      </c>
      <c r="BJ79" s="1759" t="s">
        <v>1831</v>
      </c>
      <c r="BL79" s="1759" t="s">
        <v>1832</v>
      </c>
    </row>
    <row customHeight="1" ht="11.25">
      <c r="A80" s="1766" t="s">
        <v>1833</v>
      </c>
      <c r="AZ80" s="1812" t="s">
        <v>1413</v>
      </c>
      <c r="BH80" s="1760" t="s">
        <v>1834</v>
      </c>
      <c r="BJ80" s="1760" t="s">
        <v>1835</v>
      </c>
      <c r="BL80" s="1760" t="s">
        <v>1836</v>
      </c>
    </row>
    <row customHeight="1" ht="11.25">
      <c r="A81" s="1766" t="s">
        <v>1837</v>
      </c>
      <c r="AZ81" s="1812" t="s">
        <v>1430</v>
      </c>
      <c r="BH81" s="1760" t="s">
        <v>1838</v>
      </c>
      <c r="BJ81" s="1760" t="s">
        <v>1839</v>
      </c>
      <c r="BL81" s="1760" t="s">
        <v>1840</v>
      </c>
    </row>
    <row customHeight="1" ht="11.25">
      <c r="A82" s="1766" t="s">
        <v>1841</v>
      </c>
      <c r="AZ82" s="1812" t="s">
        <v>1445</v>
      </c>
      <c r="BH82" s="1760" t="s">
        <v>1842</v>
      </c>
      <c r="BJ82" s="1760" t="s">
        <v>1843</v>
      </c>
      <c r="BL82" s="1760" t="s">
        <v>1844</v>
      </c>
    </row>
    <row customHeight="1" ht="11.25">
      <c r="A83" s="1766" t="s">
        <v>1845</v>
      </c>
      <c r="BH83" s="1760" t="s">
        <v>1846</v>
      </c>
      <c r="BJ83" s="1760" t="s">
        <v>1847</v>
      </c>
      <c r="BL83" s="1760" t="s">
        <v>1848</v>
      </c>
    </row>
    <row customHeight="1" ht="11.25">
      <c r="A84" s="1766" t="s">
        <v>1849</v>
      </c>
      <c r="AZ84" s="1759" t="s">
        <v>1850</v>
      </c>
    </row>
    <row customHeight="1" ht="11.25">
      <c r="A85" s="2562" t="s">
        <v>1851</v>
      </c>
      <c r="AZ85" s="1812" t="s">
        <v>1852</v>
      </c>
    </row>
    <row customHeight="1" ht="11.25">
      <c r="A86" s="1766" t="s">
        <v>1853</v>
      </c>
      <c r="AZ86" s="1812" t="s">
        <v>1854</v>
      </c>
      <c r="BH86" s="1759" t="s">
        <v>1855</v>
      </c>
      <c r="BJ86" s="1759" t="s">
        <v>1856</v>
      </c>
      <c r="BL86" s="1759" t="s">
        <v>1857</v>
      </c>
    </row>
    <row customHeight="1" ht="11.25">
      <c r="A87" s="1766" t="s">
        <v>1858</v>
      </c>
      <c r="AZ87" s="1812" t="s">
        <v>1859</v>
      </c>
      <c r="BH87" s="1760" t="s">
        <v>1860</v>
      </c>
      <c r="BJ87" s="1760" t="s">
        <v>1861</v>
      </c>
      <c r="BL87" s="1760" t="s">
        <v>1862</v>
      </c>
    </row>
    <row customHeight="1" ht="11.25">
      <c r="A88" s="1766" t="s">
        <v>1863</v>
      </c>
      <c r="AZ88" s="2298"/>
      <c r="BH88" s="1760" t="s">
        <v>1864</v>
      </c>
      <c r="BJ88" s="1760" t="s">
        <v>1865</v>
      </c>
      <c r="BL88" s="1760" t="s">
        <v>1866</v>
      </c>
    </row>
    <row customHeight="1" ht="11.25">
      <c r="A89" s="1766" t="s">
        <v>1867</v>
      </c>
      <c r="AZ89" s="1759" t="s">
        <v>1868</v>
      </c>
    </row>
    <row customHeight="1" ht="11.25">
      <c r="A90" s="1766" t="s">
        <v>1869</v>
      </c>
      <c r="AZ90" s="1812" t="s">
        <v>1092</v>
      </c>
    </row>
    <row customHeight="1" ht="11.25">
      <c r="A91" s="1766" t="s">
        <v>1870</v>
      </c>
      <c r="AZ91" s="1812" t="s">
        <v>1128</v>
      </c>
      <c r="BH91" s="1759" t="s">
        <v>1871</v>
      </c>
      <c r="BJ91" s="1759" t="s">
        <v>1872</v>
      </c>
      <c r="BL91" s="1759" t="s">
        <v>1873</v>
      </c>
    </row>
    <row customHeight="1" ht="11.25">
      <c r="AZ92" s="1812" t="s">
        <v>1874</v>
      </c>
      <c r="BH92" s="1760" t="s">
        <v>1875</v>
      </c>
      <c r="BJ92" s="1760" t="s">
        <v>1876</v>
      </c>
      <c r="BL92" s="1760" t="s">
        <v>1877</v>
      </c>
    </row>
    <row customHeight="1" ht="11.25">
      <c r="AZ93" s="1812" t="s">
        <v>1878</v>
      </c>
      <c r="BH93" s="1760" t="s">
        <v>1879</v>
      </c>
      <c r="BJ93" s="1760" t="s">
        <v>1880</v>
      </c>
      <c r="BL93" s="1760" t="s">
        <v>1881</v>
      </c>
    </row>
    <row customHeight="1" ht="11.25">
      <c r="AZ94" s="1812" t="s">
        <v>1882</v>
      </c>
    </row>
    <row r="96" customHeight="1" ht="11.25">
      <c r="AZ96" s="1759" t="s">
        <v>1883</v>
      </c>
      <c r="BH96" s="1759" t="s">
        <v>1884</v>
      </c>
      <c r="BJ96" s="1759" t="s">
        <v>1885</v>
      </c>
      <c r="BL96" s="1759" t="s">
        <v>1886</v>
      </c>
      <c r="BN96" s="1759" t="s">
        <v>1887</v>
      </c>
    </row>
    <row customHeight="1" ht="11.25">
      <c r="AZ97" s="2593" t="s">
        <v>1888</v>
      </c>
      <c r="BA97" s="2594" t="s">
        <v>1889</v>
      </c>
      <c r="BH97" s="1760" t="s">
        <v>1890</v>
      </c>
      <c r="BJ97" s="1760" t="s">
        <v>1891</v>
      </c>
      <c r="BL97" s="1760" t="s">
        <v>1892</v>
      </c>
      <c r="BN97" s="1760" t="s">
        <v>1893</v>
      </c>
    </row>
    <row customHeight="1" ht="11.25">
      <c r="AZ98" s="2593" t="s">
        <v>1894</v>
      </c>
      <c r="BA98" s="2594" t="s">
        <v>1895</v>
      </c>
      <c r="BH98" s="1760" t="s">
        <v>1896</v>
      </c>
      <c r="BJ98" s="1760" t="s">
        <v>1897</v>
      </c>
      <c r="BL98" s="1760" t="s">
        <v>1898</v>
      </c>
      <c r="BN98" s="1760" t="s">
        <v>1899</v>
      </c>
    </row>
    <row customHeight="1" ht="22.5">
      <c r="AZ99" s="2593" t="s">
        <v>1900</v>
      </c>
      <c r="BA99" s="2594" t="str">
        <f>"не позднее чем за "&amp;IF(TEMPLATE_SPHERE="TKO","3","10")&amp;" дней до дня проведения заседания правления"</f>
        <v>не позднее чем за 10 дней до дня проведения заседания правления</v>
      </c>
      <c r="BH99" s="1760" t="s">
        <v>1901</v>
      </c>
      <c r="BJ99" s="1760" t="s">
        <v>1902</v>
      </c>
      <c r="BL99" s="1760" t="s">
        <v>1903</v>
      </c>
      <c r="BN99" s="1760" t="s">
        <v>1904</v>
      </c>
    </row>
    <row customHeight="1" ht="22.5">
      <c r="AZ100" s="2593" t="s">
        <v>1905</v>
      </c>
      <c r="BA100" s="259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760" t="s">
        <v>1491</v>
      </c>
      <c r="BL100" s="1760" t="s">
        <v>1491</v>
      </c>
      <c r="BN100" s="1760" t="s">
        <v>1906</v>
      </c>
    </row>
    <row customHeight="1" ht="22.5">
      <c r="AZ101" s="2593" t="s">
        <v>1907</v>
      </c>
      <c r="BA101" s="2594" t="s">
        <v>1908</v>
      </c>
      <c r="BN101" s="1760" t="s">
        <v>1909</v>
      </c>
    </row>
    <row customHeight="1" ht="22.5">
      <c r="AZ102" s="2593" t="s">
        <v>1910</v>
      </c>
      <c r="BA102" s="259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760" t="s">
        <v>1911</v>
      </c>
    </row>
    <row customHeight="1" ht="11.25">
      <c r="AZ103" s="2593" t="s">
        <v>1912</v>
      </c>
      <c r="BA103" s="2594" t="s">
        <v>1913</v>
      </c>
      <c r="BN103" s="1760" t="s">
        <v>1914</v>
      </c>
    </row>
    <row customHeight="1" ht="11.25">
      <c r="BN104" s="1760" t="s">
        <v>1915</v>
      </c>
    </row>
    <row customHeight="1" ht="11.25">
      <c r="AZ105" s="2384" t="s">
        <v>1916</v>
      </c>
    </row>
    <row customHeight="1" ht="11.25">
      <c r="AZ106" s="1812" t="s">
        <v>1917</v>
      </c>
    </row>
    <row customHeight="1" ht="11.25">
      <c r="AZ107" s="1812" t="s">
        <v>1918</v>
      </c>
      <c r="BH107" s="1759" t="s">
        <v>1919</v>
      </c>
      <c r="BJ107" s="1759" t="s">
        <v>1920</v>
      </c>
      <c r="BL107" s="1759" t="s">
        <v>1921</v>
      </c>
      <c r="BN107" s="1759" t="s">
        <v>1922</v>
      </c>
    </row>
    <row customHeight="1" ht="11.25">
      <c r="AZ108" s="1812" t="s">
        <v>645</v>
      </c>
      <c r="BH108" s="1760" t="s">
        <v>1923</v>
      </c>
      <c r="BJ108" s="1760" t="s">
        <v>1924</v>
      </c>
      <c r="BL108" s="1760" t="s">
        <v>1577</v>
      </c>
      <c r="BN108" s="1760" t="s">
        <v>1925</v>
      </c>
    </row>
    <row customHeight="1" ht="11.25">
      <c r="BH109" s="1760" t="s">
        <v>1926</v>
      </c>
    </row>
    <row customHeight="1" ht="11.25">
      <c r="AZ110" s="2384" t="s">
        <v>1927</v>
      </c>
      <c r="BH110" s="1760" t="s">
        <v>1926</v>
      </c>
    </row>
    <row customHeight="1" ht="11.25">
      <c r="AZ111" s="2593" t="s">
        <v>1888</v>
      </c>
      <c r="BA111" s="2594" t="s">
        <v>1889</v>
      </c>
    </row>
    <row customHeight="1" ht="11.25">
      <c r="AZ112" s="2593" t="s">
        <v>1894</v>
      </c>
      <c r="BA112" s="2594" t="s">
        <v>1895</v>
      </c>
    </row>
    <row customHeight="1" ht="22.5">
      <c r="AZ113" s="2593" t="s">
        <v>1900</v>
      </c>
      <c r="BA113" s="2594"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593" t="s">
        <v>1905</v>
      </c>
      <c r="BA114" s="259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759" t="s">
        <v>1928</v>
      </c>
    </row>
    <row customHeight="1" ht="22.5">
      <c r="AZ115" s="2593" t="s">
        <v>1910</v>
      </c>
      <c r="BA115" s="259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760" t="s">
        <v>521</v>
      </c>
    </row>
    <row customHeight="1" ht="11.25">
      <c r="AZ116" s="2593" t="s">
        <v>1912</v>
      </c>
      <c r="BA116" s="2594" t="s">
        <v>1913</v>
      </c>
      <c r="BH116" s="1760" t="s">
        <v>520</v>
      </c>
    </row>
    <row customHeight="1" ht="11.25">
      <c r="BH117" s="1760" t="s">
        <v>1350</v>
      </c>
    </row>
    <row customHeight="1" ht="11.25">
      <c r="BH118" s="1760" t="s">
        <v>1383</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278A0E-0C1C-9D4A-3081-BD123AD95F39}"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8161" width="15.00390625" hidden="1" customWidth="1"/>
    <col min="3" max="3" style="58205" width="3.00390625" customWidth="1"/>
    <col min="4" max="4" style="58206" width="6.00390625" customWidth="1"/>
    <col min="5" max="5" style="58205" width="52.00390625" customWidth="1"/>
    <col min="6" max="6" style="58205" width="48.00390625" customWidth="1"/>
    <col min="7" max="7" style="58205" width="93.00390625" customWidth="1"/>
    <col min="8" max="8" style="58205" width="8.00390625" customWidth="1"/>
    <col min="9" max="9" style="58205" width="64.00390625" customWidth="1"/>
    <col min="10" max="10" style="58205" width="9.140625" hidden="1"/>
  </cols>
  <sheetData>
    <row customHeight="1" ht="11.25" hidden="1">
      <c r="A1" s="1193" t="s">
        <v>374</v>
      </c>
      <c r="J1" s="1147" t="s">
        <v>14</v>
      </c>
    </row>
    <row customHeight="1" ht="22.5" hidden="1">
      <c r="A2" s="1194"/>
      <c r="B2" s="1194"/>
      <c r="C2" s="2422" t="s">
        <v>104</v>
      </c>
      <c r="D2" s="2212"/>
      <c r="E2" s="2218"/>
      <c r="F2" s="2241"/>
      <c r="H2" s="1167"/>
      <c r="J2" s="1147">
        <v>0</v>
      </c>
    </row>
    <row customHeight="1" ht="11.25" hidden="1">
      <c r="J3" s="1147">
        <v>0</v>
      </c>
    </row>
    <row customHeight="1" ht="11.549999999999999">
      <c r="A4" s="2242"/>
      <c r="B4" s="2242"/>
      <c r="J4" s="1147">
        <v>11</v>
      </c>
    </row>
    <row customHeight="1" ht="27.299999999999997">
      <c r="D5" s="293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931"/>
      <c r="F5" s="2932"/>
      <c r="I5" s="1407"/>
      <c r="J5" s="1147">
        <v>26</v>
      </c>
    </row>
    <row customHeight="1" ht="18">
      <c r="D6" s="2868" t="str">
        <f>IF(region_name=0,"Не определено",region_name)</f>
        <v>Приморский край</v>
      </c>
      <c r="E6" s="2868"/>
      <c r="F6" s="2868"/>
      <c r="I6" s="1407"/>
      <c r="J6" s="1147">
        <v>17</v>
      </c>
    </row>
    <row s="58122" customFormat="1" customHeight="1" ht="11.549999999999999">
      <c r="A7" s="1193"/>
      <c r="B7" s="1193"/>
      <c r="D7" s="1406"/>
      <c r="E7" s="1406"/>
      <c r="F7" s="1444"/>
      <c r="G7" s="1406"/>
      <c r="J7" s="1169">
        <v>11</v>
      </c>
    </row>
    <row customHeight="1" ht="11.25" hidden="1">
      <c r="A8" s="1194"/>
      <c r="B8" s="1194"/>
      <c r="C8" s="1149"/>
      <c r="D8" s="1155"/>
      <c r="E8" s="2899"/>
      <c r="F8" s="2899"/>
      <c r="J8" s="1147">
        <v>0</v>
      </c>
    </row>
    <row customHeight="1" ht="11.549999999999999">
      <c r="A9" s="1194"/>
      <c r="B9" s="1194"/>
      <c r="C9" s="1149"/>
      <c r="D9" s="2896" t="s">
        <v>375</v>
      </c>
      <c r="E9" s="2897"/>
      <c r="F9" s="2897"/>
      <c r="G9" s="2900" t="s">
        <v>376</v>
      </c>
      <c r="J9" s="1147">
        <v>11</v>
      </c>
    </row>
    <row customHeight="1" ht="11.549999999999999">
      <c r="A10" s="1194"/>
      <c r="B10" s="1194"/>
      <c r="C10" s="1149"/>
      <c r="D10" s="2166" t="s">
        <v>89</v>
      </c>
      <c r="E10" s="2168" t="s">
        <v>377</v>
      </c>
      <c r="F10" s="2168" t="s">
        <v>378</v>
      </c>
      <c r="G10" s="2901"/>
      <c r="J10" s="1147">
        <v>11</v>
      </c>
    </row>
    <row customHeight="1" ht="1.05">
      <c r="A11" s="1194"/>
      <c r="B11" s="1194"/>
      <c r="C11" s="1149"/>
      <c r="D11" s="1156"/>
      <c r="E11" s="1156"/>
      <c r="F11" s="1156"/>
      <c r="G11" s="1156"/>
      <c r="J11" s="1147">
        <v>1</v>
      </c>
    </row>
    <row customHeight="1" ht="24">
      <c r="A12" s="1194"/>
      <c r="B12" s="1194"/>
      <c r="C12" s="1149"/>
      <c r="D12" s="2212">
        <v>1</v>
      </c>
      <c r="E12" s="116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600" t="str">
        <f>IF(org="","",org)</f>
        <v>АО "ДГК"</v>
      </c>
      <c r="G12" s="116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225"/>
      <c r="J12" s="1147">
        <v>23</v>
      </c>
    </row>
    <row customHeight="1" ht="19.95">
      <c r="A13" s="1194"/>
      <c r="B13" s="1194"/>
      <c r="C13" s="1149"/>
      <c r="D13" s="2212">
        <v>2</v>
      </c>
      <c r="E13" s="2219" t="s">
        <v>1929</v>
      </c>
      <c r="F13" s="2213" t="s">
        <v>381</v>
      </c>
      <c r="G13" s="1166"/>
      <c r="H13" s="2225"/>
      <c r="J13" s="1147">
        <v>19</v>
      </c>
    </row>
    <row customHeight="1" ht="19.95">
      <c r="A14" s="1194"/>
      <c r="B14" s="1194"/>
      <c r="C14" s="1149"/>
      <c r="D14" s="2215" t="s">
        <v>782</v>
      </c>
      <c r="E14" s="2216" t="s">
        <v>1930</v>
      </c>
      <c r="F14" s="2218"/>
      <c r="G14" s="2217" t="s">
        <v>1931</v>
      </c>
      <c r="H14" s="2225"/>
      <c r="J14" s="1147">
        <v>19</v>
      </c>
    </row>
    <row customHeight="1" ht="19.95">
      <c r="A15" s="1194"/>
      <c r="B15" s="1194"/>
      <c r="C15" s="1149"/>
      <c r="D15" s="2215" t="s">
        <v>382</v>
      </c>
      <c r="E15" s="2216" t="s">
        <v>1932</v>
      </c>
      <c r="F15" s="2218"/>
      <c r="G15" s="2217" t="s">
        <v>1933</v>
      </c>
      <c r="H15" s="2225"/>
      <c r="J15" s="1147">
        <v>19</v>
      </c>
    </row>
    <row customHeight="1" ht="24">
      <c r="A16" s="1194"/>
      <c r="B16" s="1194"/>
      <c r="C16" s="1149"/>
      <c r="D16" s="2215" t="s">
        <v>385</v>
      </c>
      <c r="E16" s="2214" t="s">
        <v>1934</v>
      </c>
      <c r="F16" s="2223"/>
      <c r="G16" s="1166" t="s">
        <v>1935</v>
      </c>
      <c r="H16" s="2225"/>
      <c r="J16" s="1147">
        <v>23</v>
      </c>
    </row>
    <row customHeight="1" ht="48.29999999999999">
      <c r="A17" s="1194"/>
      <c r="B17" s="1194"/>
      <c r="C17" s="1149"/>
      <c r="D17" s="2212">
        <v>3</v>
      </c>
      <c r="E17" s="2219" t="s">
        <v>1936</v>
      </c>
      <c r="F17" s="2218"/>
      <c r="G17" s="1166" t="s">
        <v>1937</v>
      </c>
      <c r="H17" s="2225"/>
      <c r="J17" s="1147">
        <v>46</v>
      </c>
    </row>
    <row customHeight="1" ht="48.29999999999999">
      <c r="A18" s="2167">
        <v>1</v>
      </c>
      <c r="B18" s="1194"/>
      <c r="C18" s="2169"/>
      <c r="D18" s="2212" t="s">
        <v>92</v>
      </c>
      <c r="E18" s="2219" t="s">
        <v>1938</v>
      </c>
      <c r="F18" s="2218"/>
      <c r="G18" s="1166" t="s">
        <v>1937</v>
      </c>
      <c r="H18" s="2225"/>
      <c r="I18" s="1544"/>
      <c r="J18" s="1147">
        <v>46</v>
      </c>
    </row>
    <row customHeight="1" ht="23.25">
      <c r="A19" s="1194"/>
      <c r="B19" s="1194"/>
      <c r="C19" s="1149"/>
      <c r="D19" s="2212" t="s">
        <v>119</v>
      </c>
      <c r="E19" s="2219" t="s">
        <v>1939</v>
      </c>
      <c r="F19" s="2213" t="s">
        <v>381</v>
      </c>
      <c r="G19" s="3163" t="s">
        <v>1940</v>
      </c>
      <c r="H19" s="1167"/>
      <c r="J19" s="1147">
        <v>22</v>
      </c>
    </row>
    <row s="62676" customFormat="1" customHeight="1" ht="5.25" hidden="1">
      <c r="A20" s="1194"/>
      <c r="B20" s="1194"/>
      <c r="C20" s="2221"/>
      <c r="D20" s="2220" t="s">
        <v>1189</v>
      </c>
      <c r="E20" s="1706"/>
      <c r="F20" s="1705"/>
      <c r="G20" s="3164"/>
      <c r="J20" s="2222">
        <v>0</v>
      </c>
    </row>
    <row customHeight="1" ht="15.75">
      <c r="A21" s="1194"/>
      <c r="B21" s="1194"/>
      <c r="C21" s="1149"/>
      <c r="D21" s="1159"/>
      <c r="E21" s="1107" t="s">
        <v>414</v>
      </c>
      <c r="F21" s="1161"/>
      <c r="G21" s="3165"/>
      <c r="H21" s="2225"/>
      <c r="J21" s="1147">
        <v>15</v>
      </c>
    </row>
    <row s="58161" customFormat="1" customHeight="1" ht="26.25">
      <c r="A22" s="1194"/>
      <c r="B22" s="1194"/>
      <c r="C22" s="1194"/>
      <c r="D22" s="2212" t="s">
        <v>93</v>
      </c>
      <c r="E22" s="1166" t="s">
        <v>1941</v>
      </c>
      <c r="F22" s="2218"/>
      <c r="G22" s="1166" t="s">
        <v>1942</v>
      </c>
      <c r="H22" s="2224"/>
      <c r="J22" s="1193">
        <v>25</v>
      </c>
    </row>
    <row s="58161" customFormat="1" customHeight="1" ht="19.95">
      <c r="A23" s="1194"/>
      <c r="B23" s="1194"/>
      <c r="C23" s="1194"/>
      <c r="D23" s="2212" t="s">
        <v>94</v>
      </c>
      <c r="E23" s="2219" t="s">
        <v>1943</v>
      </c>
      <c r="F23" s="2223"/>
      <c r="G23" s="1166" t="s">
        <v>1944</v>
      </c>
      <c r="H23" s="2224"/>
      <c r="J23" s="1193">
        <v>19</v>
      </c>
    </row>
    <row s="58161" customFormat="1" customHeight="1" ht="144" hidden="1">
      <c r="A24" s="1194"/>
      <c r="B24" s="1194"/>
      <c r="C24" s="1194"/>
      <c r="D24" s="2212" t="s">
        <v>120</v>
      </c>
      <c r="E24" s="258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590"/>
      <c r="G24" s="258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224"/>
      <c r="J24" s="1193">
        <v>0</v>
      </c>
    </row>
    <row customHeight="1" ht="11.25" hidden="1">
      <c r="A25" s="1193" t="s">
        <v>83</v>
      </c>
      <c r="B25" s="1193">
        <v>0</v>
      </c>
      <c r="C25" s="1147">
        <v>3</v>
      </c>
      <c r="D25" s="1148">
        <v>6</v>
      </c>
      <c r="E25" s="1147">
        <v>52</v>
      </c>
      <c r="F25" s="1147">
        <v>48</v>
      </c>
      <c r="G25" s="1147">
        <v>93</v>
      </c>
      <c r="H25" s="1147">
        <v>8</v>
      </c>
      <c r="I25" s="1147">
        <v>64</v>
      </c>
      <c r="J25" s="1147">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3D88AC-4B39-97B2-0541-00B8E8D7BB0F}"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62286" width="9.140625" hidden="1"/>
    <col min="2" max="2" style="62148" width="9.140625" hidden="1"/>
    <col min="3" max="3" style="62286" width="3.7109375" hidden="1" customWidth="1"/>
    <col min="4" max="4" style="62687" width="3.00390625" customWidth="1"/>
    <col min="5" max="5" style="62286" width="6.00390625" customWidth="1"/>
    <col min="6" max="6" style="62286" width="46.00390625" customWidth="1"/>
    <col min="7" max="8" style="62286" width="16.00390625" customWidth="1"/>
    <col min="9" max="9" style="62286" width="35.00390625" customWidth="1"/>
    <col min="10" max="10" style="62286" width="89.00390625" customWidth="1"/>
    <col min="11" max="11" style="62151" width="3.00390625" customWidth="1"/>
    <col min="12" max="14" style="62151" width="8.00390625" customWidth="1"/>
    <col min="15" max="15" style="62151" width="25.00390625" customWidth="1"/>
    <col min="16" max="16" style="62151" width="14.00390625" customWidth="1"/>
    <col min="17" max="20" style="57600" width="8.00390625" customWidth="1"/>
    <col min="21" max="254" style="62286" width="8.00390625" customWidth="1"/>
    <col min="255" max="255" style="62286" width="9.140625" hidden="1"/>
  </cols>
  <sheetData>
    <row customHeight="1" ht="22.5" hidden="1">
      <c r="F1" s="2323" t="s">
        <v>1945</v>
      </c>
      <c r="G1" s="2323" t="s">
        <v>49</v>
      </c>
      <c r="H1" s="2323" t="s">
        <v>51</v>
      </c>
      <c r="IU1" s="1847" t="s">
        <v>14</v>
      </c>
    </row>
    <row s="63225" customFormat="1" customHeight="1" ht="22.5" hidden="1">
      <c r="A2" s="1523"/>
      <c r="B2" s="1852">
        <v>1</v>
      </c>
      <c r="C2" s="1852"/>
      <c r="D2" s="2620" t="s">
        <v>104</v>
      </c>
      <c r="E2" s="2176"/>
      <c r="F2" s="2183"/>
      <c r="G2" s="2183"/>
      <c r="H2" s="2183"/>
      <c r="I2" s="2676"/>
      <c r="J2" s="2677"/>
      <c r="K2" s="2227"/>
      <c r="L2" s="1203"/>
      <c r="M2" s="1203"/>
      <c r="N2" s="1192" t="str">
        <f t="array" ref="N2:N2">IF(ISERROR(MATCH(MID(O2,1,250),MID(note_ter,1,250),0)),"n","y")</f>
        <v>n</v>
      </c>
      <c r="O2" s="1203"/>
      <c r="P2" s="1192" t="str">
        <f>G2&amp;"("&amp;J2&amp;")"</f>
        <v>()</v>
      </c>
      <c r="Q2" s="1852"/>
      <c r="R2" s="1852"/>
      <c r="S2" s="1112"/>
      <c r="T2" s="1852"/>
      <c r="U2" s="1852"/>
      <c r="V2" s="1852"/>
      <c r="W2" s="1114"/>
      <c r="X2" s="1114"/>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1111"/>
      <c r="AZ2" s="1111"/>
      <c r="BA2" s="1111"/>
      <c r="BB2" s="1111"/>
      <c r="BC2" s="1111"/>
      <c r="BD2" s="1111"/>
      <c r="BE2" s="1111"/>
      <c r="BF2" s="1111"/>
      <c r="BG2" s="1111"/>
      <c r="BH2" s="1111"/>
      <c r="BI2" s="1111"/>
      <c r="BJ2" s="1111"/>
      <c r="BK2" s="1111"/>
      <c r="BL2" s="1111"/>
      <c r="BM2" s="1111"/>
      <c r="BN2" s="1111"/>
      <c r="BO2" s="1111"/>
      <c r="BP2" s="1111"/>
      <c r="BQ2" s="1111"/>
      <c r="BR2" s="1111"/>
      <c r="BS2" s="1111"/>
      <c r="BT2" s="1114"/>
      <c r="BU2" s="1114"/>
      <c r="BV2" s="1114"/>
      <c r="BW2" s="1114"/>
      <c r="BX2" s="1114"/>
      <c r="BY2" s="1114"/>
      <c r="BZ2" s="1114"/>
      <c r="CA2" s="1114"/>
      <c r="CB2" s="1114"/>
      <c r="CC2" s="1114"/>
      <c r="IU2" s="1115">
        <v>0</v>
      </c>
    </row>
    <row s="61695" customFormat="1" customHeight="1" ht="4.2">
      <c r="A3" s="1188"/>
      <c r="D3" s="1186"/>
      <c r="F3" s="939" t="s">
        <v>84</v>
      </c>
      <c r="G3" s="1186" t="s">
        <v>85</v>
      </c>
      <c r="H3" s="1186"/>
      <c r="I3" s="1186"/>
      <c r="J3" s="919" t="s">
        <v>86</v>
      </c>
      <c r="K3" s="939" t="s">
        <v>84</v>
      </c>
      <c r="L3" s="939"/>
      <c r="M3" s="939"/>
      <c r="N3" s="939"/>
      <c r="O3" s="940"/>
      <c r="P3" s="939"/>
      <c r="Q3" s="939"/>
      <c r="R3" s="939"/>
      <c r="S3" s="939"/>
      <c r="T3" s="939"/>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c r="AT3" s="919"/>
      <c r="AU3" s="919"/>
      <c r="AV3" s="919"/>
      <c r="AW3" s="919"/>
      <c r="AX3" s="919"/>
      <c r="AY3" s="919"/>
      <c r="AZ3" s="919"/>
      <c r="BA3" s="919"/>
      <c r="BB3" s="919"/>
      <c r="BC3" s="919"/>
      <c r="BD3" s="919"/>
      <c r="BE3" s="919"/>
      <c r="BF3" s="919"/>
      <c r="BG3" s="919"/>
      <c r="BH3" s="919"/>
      <c r="BI3" s="919"/>
      <c r="BJ3" s="919"/>
      <c r="BK3" s="919"/>
      <c r="BL3" s="919"/>
      <c r="BM3" s="919"/>
      <c r="BN3" s="919"/>
      <c r="BO3" s="919"/>
      <c r="BP3" s="919"/>
      <c r="BQ3" s="919"/>
      <c r="BR3" s="919"/>
      <c r="BS3" s="919"/>
      <c r="BT3" s="919"/>
      <c r="BU3" s="919"/>
      <c r="BV3" s="919"/>
      <c r="BW3" s="919"/>
      <c r="BX3" s="919"/>
      <c r="BY3" s="919"/>
      <c r="BZ3" s="919"/>
      <c r="CA3" s="919"/>
      <c r="CB3" s="919"/>
      <c r="CC3" s="919"/>
      <c r="CD3" s="919"/>
      <c r="CE3" s="919"/>
      <c r="CF3" s="919"/>
      <c r="CG3" s="919"/>
      <c r="CH3" s="919"/>
      <c r="CI3" s="919"/>
      <c r="CJ3" s="919"/>
      <c r="CK3" s="919"/>
      <c r="CL3" s="919"/>
      <c r="CM3" s="919"/>
      <c r="CN3" s="919"/>
      <c r="CO3" s="919"/>
      <c r="CP3" s="919"/>
      <c r="CQ3" s="919"/>
      <c r="CR3" s="919"/>
      <c r="CS3" s="919"/>
      <c r="CT3" s="919"/>
      <c r="CU3" s="919"/>
      <c r="CV3" s="919"/>
      <c r="CW3" s="919"/>
      <c r="CX3" s="919"/>
      <c r="CY3" s="919"/>
      <c r="CZ3" s="919"/>
      <c r="DA3" s="919"/>
      <c r="DB3" s="919"/>
      <c r="DC3" s="919"/>
      <c r="DD3" s="919"/>
      <c r="DE3" s="919"/>
      <c r="DF3" s="919"/>
      <c r="DG3" s="919"/>
      <c r="DH3" s="919"/>
      <c r="DI3" s="919"/>
      <c r="DJ3" s="919"/>
      <c r="DK3" s="919"/>
      <c r="DL3" s="919"/>
      <c r="DM3" s="919"/>
      <c r="DN3" s="919"/>
      <c r="DO3" s="919"/>
      <c r="DP3" s="919"/>
      <c r="DQ3" s="919"/>
      <c r="DR3" s="919"/>
      <c r="DS3" s="919"/>
      <c r="DT3" s="919"/>
      <c r="DU3" s="919"/>
      <c r="DV3" s="919"/>
      <c r="DW3" s="919"/>
      <c r="DX3" s="919"/>
      <c r="DY3" s="919"/>
      <c r="DZ3" s="919"/>
      <c r="EA3" s="919"/>
      <c r="EB3" s="919"/>
      <c r="EC3" s="919"/>
      <c r="ED3" s="919"/>
      <c r="EE3" s="919"/>
      <c r="EF3" s="919"/>
      <c r="EG3" s="919"/>
      <c r="EH3" s="919"/>
      <c r="EI3" s="919"/>
      <c r="EJ3" s="919"/>
      <c r="EK3" s="919"/>
      <c r="EL3" s="919"/>
      <c r="EM3" s="919"/>
      <c r="EN3" s="919"/>
      <c r="EO3" s="919"/>
      <c r="EP3" s="919"/>
      <c r="EQ3" s="919"/>
      <c r="ER3" s="919"/>
      <c r="ES3" s="919"/>
      <c r="ET3" s="919"/>
      <c r="EU3" s="919"/>
      <c r="EV3" s="919"/>
      <c r="EW3" s="919"/>
      <c r="EX3" s="919"/>
      <c r="EY3" s="919"/>
      <c r="EZ3" s="919"/>
      <c r="FA3" s="919"/>
      <c r="FB3" s="919"/>
      <c r="FC3" s="919"/>
      <c r="FD3" s="919"/>
      <c r="FE3" s="919"/>
      <c r="FF3" s="919"/>
      <c r="FG3" s="919"/>
      <c r="FH3" s="919"/>
      <c r="FI3" s="919"/>
      <c r="FJ3" s="919"/>
      <c r="FK3" s="919"/>
      <c r="FL3" s="919"/>
      <c r="FM3" s="919"/>
      <c r="FN3" s="919"/>
      <c r="FO3" s="919"/>
      <c r="FP3" s="919"/>
      <c r="FQ3" s="919"/>
      <c r="FR3" s="919"/>
      <c r="FS3" s="919"/>
      <c r="FT3" s="919"/>
      <c r="FU3" s="919"/>
      <c r="FV3" s="919"/>
      <c r="FW3" s="919"/>
      <c r="FX3" s="919"/>
      <c r="FY3" s="919"/>
      <c r="FZ3" s="919"/>
      <c r="GA3" s="919"/>
      <c r="GB3" s="919"/>
      <c r="GC3" s="919"/>
      <c r="GD3" s="919"/>
      <c r="GE3" s="919"/>
      <c r="GF3" s="919"/>
      <c r="GG3" s="919"/>
      <c r="GH3" s="919"/>
      <c r="GI3" s="919"/>
      <c r="GJ3" s="919"/>
      <c r="GK3" s="919"/>
      <c r="GL3" s="919"/>
      <c r="GM3" s="919"/>
      <c r="GN3" s="919"/>
      <c r="GO3" s="919"/>
      <c r="GP3" s="919"/>
      <c r="GQ3" s="919"/>
      <c r="GR3" s="919"/>
      <c r="GS3" s="919"/>
      <c r="GT3" s="919"/>
      <c r="GU3" s="919"/>
      <c r="GV3" s="919"/>
      <c r="GW3" s="919"/>
      <c r="GX3" s="919"/>
      <c r="GY3" s="919"/>
      <c r="GZ3" s="919"/>
      <c r="HA3" s="919"/>
      <c r="HB3" s="919"/>
      <c r="HC3" s="919"/>
      <c r="HD3" s="919"/>
      <c r="HE3" s="919"/>
      <c r="HF3" s="919"/>
      <c r="HG3" s="919"/>
      <c r="HH3" s="919"/>
      <c r="HI3" s="919"/>
      <c r="HJ3" s="919"/>
      <c r="HK3" s="919"/>
      <c r="HL3" s="919"/>
      <c r="HM3" s="919"/>
      <c r="HN3" s="919"/>
      <c r="HO3" s="919"/>
      <c r="HP3" s="919"/>
      <c r="HQ3" s="919"/>
      <c r="HR3" s="919"/>
      <c r="HS3" s="919"/>
      <c r="HT3" s="919"/>
      <c r="HU3" s="919"/>
      <c r="HV3" s="919"/>
      <c r="HW3" s="919"/>
      <c r="HX3" s="919"/>
      <c r="HY3" s="919"/>
      <c r="HZ3" s="919"/>
      <c r="IA3" s="919"/>
      <c r="IB3" s="919"/>
      <c r="IC3" s="919"/>
      <c r="ID3" s="919"/>
      <c r="IE3" s="919"/>
      <c r="IF3" s="919"/>
      <c r="IG3" s="919"/>
      <c r="IH3" s="919"/>
      <c r="II3" s="919"/>
      <c r="IJ3" s="919"/>
      <c r="IK3" s="919"/>
      <c r="IL3" s="919"/>
      <c r="IM3" s="919"/>
      <c r="IN3" s="919"/>
      <c r="IO3" s="919"/>
      <c r="IP3" s="919"/>
      <c r="IQ3" s="919"/>
      <c r="IR3" s="919"/>
      <c r="IS3" s="919"/>
      <c r="IT3" s="919"/>
      <c r="IU3" s="1203">
        <v>4</v>
      </c>
    </row>
    <row s="58273" customFormat="1" customHeight="1" ht="14.699999999999998">
      <c r="A4" s="1847"/>
      <c r="B4" s="1852"/>
      <c r="C4" s="1847"/>
      <c r="D4" s="2187"/>
      <c r="E4" s="1201"/>
      <c r="F4" s="2334"/>
      <c r="G4" s="1201"/>
      <c r="H4" s="1201"/>
      <c r="I4" s="1201"/>
      <c r="J4" s="858"/>
      <c r="K4" s="939"/>
      <c r="L4" s="1192"/>
      <c r="M4" s="1192"/>
      <c r="N4" s="1192"/>
      <c r="O4" s="918"/>
      <c r="P4" s="1192"/>
      <c r="Q4" s="917"/>
      <c r="R4" s="917"/>
      <c r="S4" s="917"/>
      <c r="T4" s="917"/>
      <c r="IU4" s="1199">
        <v>14</v>
      </c>
    </row>
    <row s="58273" customFormat="1" customHeight="1" ht="27.299999999999997">
      <c r="A5" s="1847"/>
      <c r="B5" s="1852"/>
      <c r="C5" s="1847"/>
      <c r="D5" s="2187"/>
      <c r="E5" s="279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792"/>
      <c r="G5" s="2792"/>
      <c r="H5" s="2792"/>
      <c r="I5" s="2792"/>
      <c r="J5" s="2792"/>
      <c r="K5" s="939"/>
      <c r="L5" s="1192"/>
      <c r="M5" s="1192"/>
      <c r="N5" s="1192"/>
      <c r="O5" s="918"/>
      <c r="P5" s="1192"/>
      <c r="Q5" s="917"/>
      <c r="R5" s="917"/>
      <c r="S5" s="917"/>
      <c r="T5" s="917"/>
      <c r="IU5" s="1199">
        <v>26</v>
      </c>
    </row>
    <row s="58273" customFormat="1" customHeight="1" ht="14.699999999999998">
      <c r="A6" s="1847"/>
      <c r="B6" s="1852"/>
      <c r="C6" s="1847"/>
      <c r="D6" s="2187"/>
      <c r="E6" s="1201"/>
      <c r="F6" s="859"/>
      <c r="G6" s="859"/>
      <c r="H6" s="859"/>
      <c r="I6" s="859"/>
      <c r="J6" s="860"/>
      <c r="K6" s="1192"/>
      <c r="L6" s="1192"/>
      <c r="M6" s="1192"/>
      <c r="N6" s="1192"/>
      <c r="O6" s="918"/>
      <c r="P6" s="1192"/>
      <c r="Q6" s="917"/>
      <c r="R6" s="917"/>
      <c r="S6" s="917"/>
      <c r="T6" s="917"/>
      <c r="IU6" s="1199">
        <v>14</v>
      </c>
    </row>
    <row s="58273" customFormat="1" customHeight="1" ht="14.699999999999998">
      <c r="A7" s="1847"/>
      <c r="B7" s="1852"/>
      <c r="C7" s="1847"/>
      <c r="D7" s="2187"/>
      <c r="E7" s="2793" t="s">
        <v>375</v>
      </c>
      <c r="F7" s="2794"/>
      <c r="G7" s="2794"/>
      <c r="H7" s="2794"/>
      <c r="I7" s="2794"/>
      <c r="J7" s="3166" t="s">
        <v>376</v>
      </c>
      <c r="K7" s="1192"/>
      <c r="L7" s="1192"/>
      <c r="M7" s="1192"/>
      <c r="N7" s="1192"/>
      <c r="O7" s="918"/>
      <c r="P7" s="1192"/>
      <c r="Q7" s="917"/>
      <c r="R7" s="917"/>
      <c r="S7" s="917"/>
      <c r="T7" s="917"/>
      <c r="IU7" s="1199">
        <v>14</v>
      </c>
    </row>
    <row s="58273" customFormat="1" customHeight="1" ht="21">
      <c r="A8" s="1847"/>
      <c r="B8" s="1852"/>
      <c r="C8" s="1847"/>
      <c r="D8" s="2187"/>
      <c r="E8" s="2240" t="s">
        <v>89</v>
      </c>
      <c r="F8" s="2232" t="s">
        <v>1945</v>
      </c>
      <c r="G8" s="2232" t="s">
        <v>49</v>
      </c>
      <c r="H8" s="2232" t="s">
        <v>51</v>
      </c>
      <c r="I8" s="2232" t="s">
        <v>1946</v>
      </c>
      <c r="J8" s="3167"/>
      <c r="K8" s="1192"/>
      <c r="L8" s="1192"/>
      <c r="M8" s="1192"/>
      <c r="N8" s="1192"/>
      <c r="O8" s="918"/>
      <c r="P8" s="1192"/>
      <c r="Q8" s="917"/>
      <c r="R8" s="917"/>
      <c r="S8" s="917"/>
      <c r="T8" s="917"/>
      <c r="IU8" s="1199">
        <v>20</v>
      </c>
    </row>
    <row s="63225" customFormat="1" customHeight="1" ht="23.25">
      <c r="A9" s="2323"/>
      <c r="B9" s="1852">
        <v>1</v>
      </c>
      <c r="C9" s="1852"/>
      <c r="D9" s="1493"/>
      <c r="E9" s="2176">
        <v>1</v>
      </c>
      <c r="F9" s="2239"/>
      <c r="G9" s="2183"/>
      <c r="H9" s="2183"/>
      <c r="I9" s="2230"/>
      <c r="J9" s="286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227"/>
      <c r="L9" s="1203"/>
      <c r="M9" s="1203"/>
      <c r="N9" s="1192" t="str">
        <f t="array" ref="N9:N9">IF(ISERROR(MATCH(MID(O9,1,250),MID(note_ter,1,250),0)),"n","y")</f>
        <v>n</v>
      </c>
      <c r="O9" s="1203"/>
      <c r="P9" s="119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852"/>
      <c r="R9" s="1852"/>
      <c r="S9" s="1112"/>
      <c r="T9" s="1852"/>
      <c r="U9" s="1852"/>
      <c r="V9" s="1852"/>
      <c r="W9" s="1114"/>
      <c r="X9" s="1114"/>
      <c r="Y9" s="1111"/>
      <c r="Z9" s="1111"/>
      <c r="AA9" s="1111"/>
      <c r="AB9" s="1111"/>
      <c r="AC9" s="1111"/>
      <c r="AD9" s="1111"/>
      <c r="AE9" s="1111"/>
      <c r="AF9" s="1111"/>
      <c r="AG9" s="1111"/>
      <c r="AH9" s="1111"/>
      <c r="AI9" s="1111"/>
      <c r="AJ9" s="1111"/>
      <c r="AK9" s="1111"/>
      <c r="AL9" s="1111"/>
      <c r="AM9" s="1111"/>
      <c r="AN9" s="1111"/>
      <c r="AO9" s="1111"/>
      <c r="AP9" s="1111"/>
      <c r="AQ9" s="1111"/>
      <c r="AR9" s="1111"/>
      <c r="AS9" s="1111"/>
      <c r="AT9" s="1111"/>
      <c r="AU9" s="1111"/>
      <c r="AV9" s="1111"/>
      <c r="AW9" s="1111"/>
      <c r="AX9" s="1111"/>
      <c r="AY9" s="1111"/>
      <c r="AZ9" s="1111"/>
      <c r="BA9" s="1111"/>
      <c r="BB9" s="1111"/>
      <c r="BC9" s="1111"/>
      <c r="BD9" s="1111"/>
      <c r="BE9" s="1111"/>
      <c r="BF9" s="1111"/>
      <c r="BG9" s="1111"/>
      <c r="BH9" s="1111"/>
      <c r="BI9" s="1111"/>
      <c r="BJ9" s="1111"/>
      <c r="BK9" s="1111"/>
      <c r="BL9" s="1111"/>
      <c r="BM9" s="1111"/>
      <c r="BN9" s="1111"/>
      <c r="BO9" s="1111"/>
      <c r="BP9" s="1111"/>
      <c r="BQ9" s="1111"/>
      <c r="BR9" s="1111"/>
      <c r="BS9" s="1111"/>
      <c r="BT9" s="1114"/>
      <c r="BU9" s="1114"/>
      <c r="BV9" s="1114"/>
      <c r="BW9" s="1114"/>
      <c r="BX9" s="1114"/>
      <c r="BY9" s="1114"/>
      <c r="BZ9" s="1114"/>
      <c r="CA9" s="1114"/>
      <c r="CB9" s="1114"/>
      <c r="CC9" s="1114"/>
      <c r="IU9" s="1115">
        <v>22</v>
      </c>
    </row>
    <row s="63225" customFormat="1" customHeight="1" ht="15.75">
      <c r="A10" s="2323"/>
      <c r="B10" s="1852"/>
      <c r="C10" s="1104"/>
      <c r="D10" s="1493"/>
      <c r="E10" s="2233"/>
      <c r="F10" s="2192" t="s">
        <v>1947</v>
      </c>
      <c r="G10" s="2234"/>
      <c r="H10" s="2234"/>
      <c r="I10" s="2591"/>
      <c r="J10" s="2863"/>
      <c r="K10" s="2228"/>
      <c r="L10" s="1203"/>
      <c r="M10" s="1203"/>
      <c r="N10" s="1203"/>
      <c r="O10" s="1192"/>
      <c r="P10" s="1203"/>
      <c r="Q10" s="1852"/>
      <c r="R10" s="1852"/>
      <c r="S10" s="1112"/>
      <c r="T10" s="1852"/>
      <c r="U10" s="1852"/>
      <c r="V10" s="1852"/>
      <c r="W10" s="1114"/>
      <c r="X10" s="1114"/>
      <c r="Y10" s="1111"/>
      <c r="Z10" s="1111"/>
      <c r="AA10" s="1111"/>
      <c r="AB10" s="1111"/>
      <c r="AC10" s="1111"/>
      <c r="AD10" s="1111"/>
      <c r="AE10" s="1111"/>
      <c r="AF10" s="1111"/>
      <c r="AG10" s="1111"/>
      <c r="AH10" s="1111"/>
      <c r="AI10" s="1111"/>
      <c r="AJ10" s="1111"/>
      <c r="AK10" s="1111"/>
      <c r="AL10" s="1111"/>
      <c r="AM10" s="1111"/>
      <c r="AN10" s="1111"/>
      <c r="AO10" s="1111"/>
      <c r="AP10" s="1111"/>
      <c r="AQ10" s="1111"/>
      <c r="AR10" s="1111"/>
      <c r="AS10" s="1111"/>
      <c r="AT10" s="1111"/>
      <c r="AU10" s="1111"/>
      <c r="AV10" s="1111"/>
      <c r="AW10" s="1111"/>
      <c r="AX10" s="1111"/>
      <c r="AY10" s="1111"/>
      <c r="AZ10" s="1111"/>
      <c r="BA10" s="1111"/>
      <c r="BB10" s="1111"/>
      <c r="BC10" s="1111"/>
      <c r="BD10" s="1111"/>
      <c r="BE10" s="1111"/>
      <c r="BF10" s="1111"/>
      <c r="BG10" s="1111"/>
      <c r="BH10" s="1111"/>
      <c r="BI10" s="1111"/>
      <c r="BJ10" s="1111"/>
      <c r="BK10" s="1111"/>
      <c r="BL10" s="1111"/>
      <c r="BM10" s="1111"/>
      <c r="BN10" s="1111"/>
      <c r="BO10" s="1111"/>
      <c r="BP10" s="1111"/>
      <c r="BQ10" s="1111"/>
      <c r="BR10" s="1111"/>
      <c r="BS10" s="1111"/>
      <c r="BT10" s="1114"/>
      <c r="BU10" s="1114"/>
      <c r="BV10" s="1114"/>
      <c r="BW10" s="1114"/>
      <c r="BX10" s="1114"/>
      <c r="BY10" s="1114"/>
      <c r="BZ10" s="1114"/>
      <c r="CA10" s="1114"/>
      <c r="CB10" s="1114"/>
      <c r="CC10" s="1114"/>
      <c r="IU10" s="1115">
        <v>15</v>
      </c>
    </row>
    <row s="58273" customFormat="1" customHeight="1" ht="22.049999999999997">
      <c r="A11" s="1847"/>
      <c r="B11" s="1852"/>
      <c r="C11" s="1847"/>
      <c r="D11" s="1143"/>
      <c r="E11" s="872"/>
      <c r="F11" s="872"/>
      <c r="G11" s="872"/>
      <c r="H11" s="872"/>
      <c r="I11" s="872"/>
      <c r="J11" s="872"/>
      <c r="K11" s="1192"/>
      <c r="L11" s="1192"/>
      <c r="M11" s="1192"/>
      <c r="N11" s="1192"/>
      <c r="O11" s="918"/>
      <c r="P11" s="1192"/>
      <c r="Q11" s="917"/>
      <c r="R11" s="917"/>
      <c r="S11" s="917"/>
      <c r="T11" s="917"/>
      <c r="IU11" s="1199">
        <v>21</v>
      </c>
    </row>
    <row s="58273" customFormat="1" customHeight="1" ht="14.699999999999998">
      <c r="A12" s="1847"/>
      <c r="B12" s="1852"/>
      <c r="C12" s="1847"/>
      <c r="D12" s="1143"/>
      <c r="E12" s="1847"/>
      <c r="F12" s="1847"/>
      <c r="G12" s="1847"/>
      <c r="H12" s="1847"/>
      <c r="I12" s="1847"/>
      <c r="J12" s="1847"/>
      <c r="K12" s="1192"/>
      <c r="L12" s="1192"/>
      <c r="M12" s="1192"/>
      <c r="N12" s="1192"/>
      <c r="O12" s="918"/>
      <c r="P12" s="1192"/>
      <c r="Q12" s="917"/>
      <c r="R12" s="917"/>
      <c r="S12" s="917"/>
      <c r="T12" s="917"/>
      <c r="IU12" s="1199">
        <v>14</v>
      </c>
    </row>
    <row s="58273" customFormat="1" customHeight="1" ht="1.05">
      <c r="A13" s="1847"/>
      <c r="B13" s="1852"/>
      <c r="C13" s="1847"/>
      <c r="D13" s="1143"/>
      <c r="E13" s="1847"/>
      <c r="F13" s="1847"/>
      <c r="G13" s="1847"/>
      <c r="H13" s="1847"/>
      <c r="I13" s="1847"/>
      <c r="J13" s="1847"/>
      <c r="K13" s="1192"/>
      <c r="L13" s="1192"/>
      <c r="M13" s="1192"/>
      <c r="N13" s="1192"/>
      <c r="O13" s="918"/>
      <c r="P13" s="1192"/>
      <c r="Q13" s="917"/>
      <c r="R13" s="917"/>
      <c r="S13" s="917"/>
      <c r="T13" s="917"/>
      <c r="IU13" s="1199">
        <v>1</v>
      </c>
    </row>
    <row s="62106" customFormat="1" customHeight="1" ht="10.5">
      <c r="B14" s="1526"/>
      <c r="D14" s="874"/>
      <c r="K14" s="1192"/>
      <c r="L14" s="1192"/>
      <c r="M14" s="1192"/>
      <c r="N14" s="1192"/>
      <c r="O14" s="918"/>
      <c r="P14" s="1192"/>
      <c r="Q14" s="917"/>
      <c r="R14" s="917"/>
      <c r="S14" s="917"/>
      <c r="T14" s="917"/>
      <c r="IU14" s="873">
        <v>10</v>
      </c>
    </row>
    <row s="62106" customFormat="1" customHeight="1" ht="10.5">
      <c r="B15" s="1526"/>
      <c r="D15" s="874"/>
      <c r="K15" s="1192"/>
      <c r="L15" s="1192"/>
      <c r="M15" s="1192"/>
      <c r="N15" s="1192"/>
      <c r="O15" s="918"/>
      <c r="P15" s="1192"/>
      <c r="Q15" s="917"/>
      <c r="R15" s="917"/>
      <c r="S15" s="917"/>
      <c r="T15" s="917"/>
      <c r="IU15" s="873">
        <v>10</v>
      </c>
    </row>
    <row customHeight="1" ht="14.699999999999998">
      <c r="IU16" s="1847">
        <v>14</v>
      </c>
    </row>
    <row customHeight="1" ht="14.699999999999998">
      <c r="IU17" s="1847">
        <v>14</v>
      </c>
    </row>
    <row customHeight="1" ht="14.699999999999998">
      <c r="IU18" s="1847">
        <v>14</v>
      </c>
    </row>
    <row customHeight="1" ht="14.699999999999998">
      <c r="G19" s="1065"/>
      <c r="H19" s="1065"/>
      <c r="I19" s="1065"/>
      <c r="IU19" s="1847">
        <v>14</v>
      </c>
    </row>
    <row customHeight="1" ht="14.699999999999998">
      <c r="IU20" s="1847">
        <v>14</v>
      </c>
    </row>
    <row customHeight="1" ht="14.699999999999998">
      <c r="IU21" s="1847">
        <v>14</v>
      </c>
    </row>
    <row customHeight="1" ht="14.699999999999998">
      <c r="IU22" s="1847">
        <v>14</v>
      </c>
    </row>
    <row customHeight="1" ht="14.699999999999998">
      <c r="K23" s="1847"/>
      <c r="L23" s="1847"/>
      <c r="M23" s="1847"/>
      <c r="IU23" s="1847">
        <v>14</v>
      </c>
    </row>
    <row customHeight="1" ht="22.5" hidden="1">
      <c r="A24" s="1847" t="s">
        <v>83</v>
      </c>
      <c r="B24" s="1852">
        <v>0</v>
      </c>
      <c r="C24" s="1847">
        <v>0</v>
      </c>
      <c r="D24" s="1143">
        <v>3</v>
      </c>
      <c r="E24" s="1847">
        <v>6</v>
      </c>
      <c r="F24" s="1847">
        <v>46</v>
      </c>
      <c r="G24" s="1847">
        <v>16</v>
      </c>
      <c r="H24" s="1847">
        <v>16</v>
      </c>
      <c r="I24" s="1847">
        <v>35</v>
      </c>
      <c r="J24" s="1847">
        <v>89</v>
      </c>
      <c r="K24" s="1192">
        <v>3</v>
      </c>
      <c r="L24" s="1192">
        <v>8</v>
      </c>
      <c r="M24" s="1192">
        <v>8</v>
      </c>
      <c r="N24" s="1192">
        <v>8</v>
      </c>
      <c r="O24" s="918">
        <v>25</v>
      </c>
      <c r="P24" s="1192">
        <v>14</v>
      </c>
      <c r="Q24" s="917">
        <v>8</v>
      </c>
      <c r="R24" s="917">
        <v>8</v>
      </c>
      <c r="S24" s="917">
        <v>8</v>
      </c>
      <c r="T24" s="917">
        <v>8</v>
      </c>
      <c r="U24" s="1847">
        <v>8</v>
      </c>
      <c r="V24" s="1847">
        <v>8</v>
      </c>
      <c r="W24" s="1847">
        <v>8</v>
      </c>
      <c r="X24" s="1847">
        <v>8</v>
      </c>
      <c r="Y24" s="1847">
        <v>8</v>
      </c>
      <c r="Z24" s="1847">
        <v>8</v>
      </c>
      <c r="AA24" s="1847">
        <v>8</v>
      </c>
      <c r="AB24" s="1847">
        <v>8</v>
      </c>
      <c r="AC24" s="1847">
        <v>8</v>
      </c>
      <c r="AD24" s="1847">
        <v>8</v>
      </c>
      <c r="AE24" s="1847">
        <v>8</v>
      </c>
      <c r="AF24" s="1847">
        <v>8</v>
      </c>
      <c r="AG24" s="1847">
        <v>8</v>
      </c>
      <c r="AH24" s="1847">
        <v>8</v>
      </c>
      <c r="AI24" s="1847">
        <v>8</v>
      </c>
      <c r="AJ24" s="1847">
        <v>8</v>
      </c>
      <c r="AK24" s="1847">
        <v>8</v>
      </c>
      <c r="AL24" s="1847">
        <v>8</v>
      </c>
      <c r="AM24" s="1847">
        <v>8</v>
      </c>
      <c r="AN24" s="1847">
        <v>8</v>
      </c>
      <c r="AO24" s="1847">
        <v>8</v>
      </c>
      <c r="AP24" s="1847">
        <v>8</v>
      </c>
      <c r="AQ24" s="1847">
        <v>8</v>
      </c>
      <c r="AR24" s="1847">
        <v>8</v>
      </c>
      <c r="AS24" s="1847">
        <v>8</v>
      </c>
      <c r="AT24" s="1847">
        <v>8</v>
      </c>
      <c r="AU24" s="1847">
        <v>8</v>
      </c>
      <c r="AV24" s="1847">
        <v>8</v>
      </c>
      <c r="AW24" s="1847">
        <v>8</v>
      </c>
      <c r="AX24" s="1847">
        <v>8</v>
      </c>
      <c r="AY24" s="1847">
        <v>8</v>
      </c>
      <c r="AZ24" s="1847">
        <v>8</v>
      </c>
      <c r="BA24" s="1847">
        <v>8</v>
      </c>
      <c r="BB24" s="1847">
        <v>8</v>
      </c>
      <c r="BC24" s="1847">
        <v>8</v>
      </c>
      <c r="BD24" s="1847">
        <v>8</v>
      </c>
      <c r="BE24" s="1847">
        <v>8</v>
      </c>
      <c r="BF24" s="1847">
        <v>8</v>
      </c>
      <c r="BG24" s="1847">
        <v>8</v>
      </c>
      <c r="BH24" s="1847">
        <v>8</v>
      </c>
      <c r="BI24" s="1847">
        <v>8</v>
      </c>
      <c r="BJ24" s="1847">
        <v>8</v>
      </c>
      <c r="BK24" s="1847">
        <v>8</v>
      </c>
      <c r="BL24" s="1847">
        <v>8</v>
      </c>
      <c r="BM24" s="1847">
        <v>8</v>
      </c>
      <c r="BN24" s="1847">
        <v>8</v>
      </c>
      <c r="BO24" s="1847">
        <v>8</v>
      </c>
      <c r="BP24" s="1847">
        <v>8</v>
      </c>
      <c r="BQ24" s="1847">
        <v>8</v>
      </c>
      <c r="BR24" s="1847">
        <v>8</v>
      </c>
      <c r="BS24" s="1847">
        <v>8</v>
      </c>
      <c r="BT24" s="1847">
        <v>8</v>
      </c>
      <c r="BU24" s="1847">
        <v>8</v>
      </c>
      <c r="BV24" s="1847">
        <v>8</v>
      </c>
      <c r="BW24" s="1847">
        <v>8</v>
      </c>
      <c r="BX24" s="1847">
        <v>8</v>
      </c>
      <c r="BY24" s="1847">
        <v>8</v>
      </c>
      <c r="BZ24" s="1847">
        <v>8</v>
      </c>
      <c r="CA24" s="1847">
        <v>8</v>
      </c>
      <c r="CB24" s="1847">
        <v>8</v>
      </c>
      <c r="CC24" s="1847">
        <v>8</v>
      </c>
      <c r="CD24" s="1847">
        <v>8</v>
      </c>
      <c r="CE24" s="1847">
        <v>8</v>
      </c>
      <c r="CF24" s="1847">
        <v>8</v>
      </c>
      <c r="CG24" s="1847">
        <v>8</v>
      </c>
      <c r="CH24" s="1847">
        <v>8</v>
      </c>
      <c r="CI24" s="1847">
        <v>8</v>
      </c>
      <c r="CJ24" s="1847">
        <v>8</v>
      </c>
      <c r="CK24" s="1847">
        <v>8</v>
      </c>
      <c r="CL24" s="1847">
        <v>8</v>
      </c>
      <c r="CM24" s="1847">
        <v>8</v>
      </c>
      <c r="CN24" s="1847">
        <v>8</v>
      </c>
      <c r="CO24" s="1847">
        <v>8</v>
      </c>
      <c r="CP24" s="1847">
        <v>8</v>
      </c>
      <c r="CQ24" s="1847">
        <v>8</v>
      </c>
      <c r="CR24" s="1847">
        <v>8</v>
      </c>
      <c r="CS24" s="1847">
        <v>8</v>
      </c>
      <c r="CT24" s="1847">
        <v>8</v>
      </c>
      <c r="CU24" s="1847">
        <v>8</v>
      </c>
      <c r="CV24" s="1847">
        <v>8</v>
      </c>
      <c r="CW24" s="1847">
        <v>8</v>
      </c>
      <c r="CX24" s="1847">
        <v>8</v>
      </c>
      <c r="CY24" s="1847">
        <v>8</v>
      </c>
      <c r="CZ24" s="1847">
        <v>8</v>
      </c>
      <c r="DA24" s="1847">
        <v>8</v>
      </c>
      <c r="DB24" s="1847">
        <v>8</v>
      </c>
      <c r="DC24" s="1847">
        <v>8</v>
      </c>
      <c r="DD24" s="1847">
        <v>8</v>
      </c>
      <c r="DE24" s="1847">
        <v>8</v>
      </c>
      <c r="DF24" s="1847">
        <v>8</v>
      </c>
      <c r="DG24" s="1847">
        <v>8</v>
      </c>
      <c r="DH24" s="1847">
        <v>8</v>
      </c>
      <c r="DI24" s="1847">
        <v>8</v>
      </c>
      <c r="DJ24" s="1847">
        <v>8</v>
      </c>
      <c r="DK24" s="1847">
        <v>8</v>
      </c>
      <c r="DL24" s="1847">
        <v>8</v>
      </c>
      <c r="DM24" s="1847">
        <v>8</v>
      </c>
      <c r="DN24" s="1847">
        <v>8</v>
      </c>
      <c r="DO24" s="1847">
        <v>8</v>
      </c>
      <c r="DP24" s="1847">
        <v>8</v>
      </c>
      <c r="DQ24" s="1847">
        <v>8</v>
      </c>
      <c r="DR24" s="1847">
        <v>8</v>
      </c>
      <c r="DS24" s="1847">
        <v>8</v>
      </c>
      <c r="DT24" s="1847">
        <v>8</v>
      </c>
      <c r="DU24" s="1847">
        <v>8</v>
      </c>
      <c r="DV24" s="1847">
        <v>8</v>
      </c>
      <c r="DW24" s="1847">
        <v>8</v>
      </c>
      <c r="DX24" s="1847">
        <v>8</v>
      </c>
      <c r="DY24" s="1847">
        <v>8</v>
      </c>
      <c r="DZ24" s="1847">
        <v>8</v>
      </c>
      <c r="EA24" s="1847">
        <v>8</v>
      </c>
      <c r="EB24" s="1847">
        <v>8</v>
      </c>
      <c r="EC24" s="1847">
        <v>8</v>
      </c>
      <c r="ED24" s="1847">
        <v>8</v>
      </c>
      <c r="EE24" s="1847">
        <v>8</v>
      </c>
      <c r="EF24" s="1847">
        <v>8</v>
      </c>
      <c r="EG24" s="1847">
        <v>8</v>
      </c>
      <c r="EH24" s="1847">
        <v>8</v>
      </c>
      <c r="EI24" s="1847">
        <v>8</v>
      </c>
      <c r="EJ24" s="1847">
        <v>8</v>
      </c>
      <c r="EK24" s="1847">
        <v>8</v>
      </c>
      <c r="EL24" s="1847">
        <v>8</v>
      </c>
      <c r="EM24" s="1847">
        <v>8</v>
      </c>
      <c r="EN24" s="1847">
        <v>8</v>
      </c>
      <c r="EO24" s="1847">
        <v>8</v>
      </c>
      <c r="EP24" s="1847">
        <v>8</v>
      </c>
      <c r="EQ24" s="1847">
        <v>8</v>
      </c>
      <c r="ER24" s="1847">
        <v>8</v>
      </c>
      <c r="ES24" s="1847">
        <v>8</v>
      </c>
      <c r="ET24" s="1847">
        <v>8</v>
      </c>
      <c r="EU24" s="1847">
        <v>8</v>
      </c>
      <c r="EV24" s="1847">
        <v>8</v>
      </c>
      <c r="EW24" s="1847">
        <v>8</v>
      </c>
      <c r="EX24" s="1847">
        <v>8</v>
      </c>
      <c r="EY24" s="1847">
        <v>8</v>
      </c>
      <c r="EZ24" s="1847">
        <v>8</v>
      </c>
      <c r="FA24" s="1847">
        <v>8</v>
      </c>
      <c r="FB24" s="1847">
        <v>8</v>
      </c>
      <c r="FC24" s="1847">
        <v>8</v>
      </c>
      <c r="FD24" s="1847">
        <v>8</v>
      </c>
      <c r="FE24" s="1847">
        <v>8</v>
      </c>
      <c r="FF24" s="1847">
        <v>8</v>
      </c>
      <c r="FG24" s="1847">
        <v>8</v>
      </c>
      <c r="FH24" s="1847">
        <v>8</v>
      </c>
      <c r="FI24" s="1847">
        <v>8</v>
      </c>
      <c r="FJ24" s="1847">
        <v>8</v>
      </c>
      <c r="FK24" s="1847">
        <v>8</v>
      </c>
      <c r="FL24" s="1847">
        <v>8</v>
      </c>
      <c r="FM24" s="1847">
        <v>8</v>
      </c>
      <c r="FN24" s="1847">
        <v>8</v>
      </c>
      <c r="FO24" s="1847">
        <v>8</v>
      </c>
      <c r="FP24" s="1847">
        <v>8</v>
      </c>
      <c r="FQ24" s="1847">
        <v>8</v>
      </c>
      <c r="FR24" s="1847">
        <v>8</v>
      </c>
      <c r="FS24" s="1847">
        <v>8</v>
      </c>
      <c r="FT24" s="1847">
        <v>8</v>
      </c>
      <c r="FU24" s="1847">
        <v>8</v>
      </c>
      <c r="FV24" s="1847">
        <v>8</v>
      </c>
      <c r="FW24" s="1847">
        <v>8</v>
      </c>
      <c r="FX24" s="1847">
        <v>8</v>
      </c>
      <c r="FY24" s="1847">
        <v>8</v>
      </c>
      <c r="FZ24" s="1847">
        <v>8</v>
      </c>
      <c r="GA24" s="1847">
        <v>8</v>
      </c>
      <c r="GB24" s="1847">
        <v>8</v>
      </c>
      <c r="GC24" s="1847">
        <v>8</v>
      </c>
      <c r="GD24" s="1847">
        <v>8</v>
      </c>
      <c r="GE24" s="1847">
        <v>8</v>
      </c>
      <c r="GF24" s="1847">
        <v>8</v>
      </c>
      <c r="GG24" s="1847">
        <v>8</v>
      </c>
      <c r="GH24" s="1847">
        <v>8</v>
      </c>
      <c r="GI24" s="1847">
        <v>8</v>
      </c>
      <c r="GJ24" s="1847">
        <v>8</v>
      </c>
      <c r="GK24" s="1847">
        <v>8</v>
      </c>
      <c r="GL24" s="1847">
        <v>8</v>
      </c>
      <c r="GM24" s="1847">
        <v>8</v>
      </c>
      <c r="GN24" s="1847">
        <v>8</v>
      </c>
      <c r="GO24" s="1847">
        <v>8</v>
      </c>
      <c r="GP24" s="1847">
        <v>8</v>
      </c>
      <c r="GQ24" s="1847">
        <v>8</v>
      </c>
      <c r="GR24" s="1847">
        <v>8</v>
      </c>
      <c r="GS24" s="1847">
        <v>8</v>
      </c>
      <c r="GT24" s="1847">
        <v>8</v>
      </c>
      <c r="GU24" s="1847">
        <v>8</v>
      </c>
      <c r="GV24" s="1847">
        <v>8</v>
      </c>
      <c r="GW24" s="1847">
        <v>8</v>
      </c>
      <c r="GX24" s="1847">
        <v>8</v>
      </c>
      <c r="GY24" s="1847">
        <v>8</v>
      </c>
      <c r="GZ24" s="1847">
        <v>8</v>
      </c>
      <c r="HA24" s="1847">
        <v>8</v>
      </c>
      <c r="HB24" s="1847">
        <v>8</v>
      </c>
      <c r="HC24" s="1847">
        <v>8</v>
      </c>
      <c r="HD24" s="1847">
        <v>8</v>
      </c>
      <c r="HE24" s="1847">
        <v>8</v>
      </c>
      <c r="HF24" s="1847">
        <v>8</v>
      </c>
      <c r="HG24" s="1847">
        <v>8</v>
      </c>
      <c r="HH24" s="1847">
        <v>8</v>
      </c>
      <c r="HI24" s="1847">
        <v>8</v>
      </c>
      <c r="HJ24" s="1847">
        <v>8</v>
      </c>
      <c r="HK24" s="1847">
        <v>8</v>
      </c>
      <c r="HL24" s="1847">
        <v>8</v>
      </c>
      <c r="HM24" s="1847">
        <v>8</v>
      </c>
      <c r="HN24" s="1847">
        <v>8</v>
      </c>
      <c r="HO24" s="1847">
        <v>8</v>
      </c>
      <c r="HP24" s="1847">
        <v>8</v>
      </c>
      <c r="HQ24" s="1847">
        <v>8</v>
      </c>
      <c r="HR24" s="1847">
        <v>8</v>
      </c>
      <c r="HS24" s="1847">
        <v>8</v>
      </c>
      <c r="HT24" s="1847">
        <v>8</v>
      </c>
      <c r="HU24" s="1847">
        <v>8</v>
      </c>
      <c r="HV24" s="1847">
        <v>8</v>
      </c>
      <c r="HW24" s="1847">
        <v>8</v>
      </c>
      <c r="HX24" s="1847">
        <v>8</v>
      </c>
      <c r="HY24" s="1847">
        <v>8</v>
      </c>
      <c r="HZ24" s="1847">
        <v>8</v>
      </c>
      <c r="IA24" s="1847">
        <v>8</v>
      </c>
      <c r="IB24" s="1847">
        <v>8</v>
      </c>
      <c r="IC24" s="1847">
        <v>8</v>
      </c>
      <c r="ID24" s="1847">
        <v>8</v>
      </c>
      <c r="IE24" s="1847">
        <v>8</v>
      </c>
      <c r="IF24" s="1847">
        <v>8</v>
      </c>
      <c r="IG24" s="1847">
        <v>8</v>
      </c>
      <c r="IH24" s="1847">
        <v>8</v>
      </c>
      <c r="II24" s="1847">
        <v>8</v>
      </c>
      <c r="IJ24" s="1847">
        <v>8</v>
      </c>
      <c r="IK24" s="1847">
        <v>8</v>
      </c>
      <c r="IL24" s="1847">
        <v>8</v>
      </c>
      <c r="IM24" s="1847">
        <v>8</v>
      </c>
      <c r="IN24" s="1847">
        <v>8</v>
      </c>
      <c r="IO24" s="1847">
        <v>8</v>
      </c>
      <c r="IP24" s="1847">
        <v>8</v>
      </c>
      <c r="IQ24" s="1847">
        <v>8</v>
      </c>
      <c r="IR24" s="1847">
        <v>8</v>
      </c>
      <c r="IS24" s="1847">
        <v>8</v>
      </c>
      <c r="IT24" s="1847">
        <v>8</v>
      </c>
      <c r="IU24" s="1847">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5222B5-6568-1A5D-06DE-8EE56368B693}"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62286" width="9.140625" hidden="1"/>
    <col min="2" max="2" style="62148" width="9.140625" hidden="1"/>
    <col min="3" max="3" style="62286" width="3.7109375" hidden="1" customWidth="1"/>
    <col min="4" max="4" style="62687" width="3.00390625" customWidth="1"/>
    <col min="5" max="5" style="62286" width="6.00390625" customWidth="1"/>
    <col min="6" max="6" style="62286" width="27.00390625" customWidth="1"/>
    <col min="7" max="7" style="62286" width="16.00390625" customWidth="1"/>
    <col min="8" max="8" style="62286" width="12.00390625" customWidth="1"/>
    <col min="9" max="9" style="62286" width="32.00390625" customWidth="1"/>
    <col min="10" max="11" style="62286" width="41.00390625" customWidth="1"/>
    <col min="12" max="12" style="62286" width="89.00390625" customWidth="1"/>
    <col min="13" max="13" style="62151" width="3.00390625" customWidth="1"/>
    <col min="14" max="16" style="62151" width="8.00390625" customWidth="1"/>
    <col min="17" max="17" style="62151" width="25.00390625" customWidth="1"/>
    <col min="18" max="18" style="62151" width="14.00390625" customWidth="1"/>
    <col min="19" max="22" style="57600" width="8.00390625" customWidth="1"/>
    <col min="23" max="256" style="62286" width="8.00390625" customWidth="1"/>
    <col min="257" max="257" style="62286" width="9.140625" hidden="1"/>
  </cols>
  <sheetData>
    <row customHeight="1" ht="22.5" hidden="1">
      <c r="IW1" s="1847" t="s">
        <v>14</v>
      </c>
    </row>
    <row s="63225" customFormat="1" customHeight="1" ht="22.5" hidden="1">
      <c r="A2" s="1523"/>
      <c r="B2" s="1852">
        <v>1</v>
      </c>
      <c r="C2" s="1852"/>
      <c r="D2" s="2620" t="s">
        <v>104</v>
      </c>
      <c r="E2" s="2581"/>
      <c r="F2" s="2584" t="str">
        <f>IF(ROIV_INFO_NAME="","",ROIV_INFO_NAME)</f>
        <v>АО "ДГК"</v>
      </c>
      <c r="G2" s="2609" t="s">
        <v>28</v>
      </c>
      <c r="H2" s="2608"/>
      <c r="I2" s="2230"/>
      <c r="J2" s="1510"/>
      <c r="K2" s="1510"/>
      <c r="L2" s="920"/>
      <c r="M2" s="2227">
        <f>MERGEVALUE(F2)</f>
      </c>
      <c r="N2" s="1203"/>
      <c r="O2" s="1203"/>
      <c r="P2" s="1192" t="str">
        <f t="array" ref="P2:P2">IF(ISERROR(MATCH(MID(Q2,1,250),MID(note_ter,1,250),0)),"n","y")</f>
        <v>n</v>
      </c>
      <c r="Q2" s="1203"/>
      <c r="R2" s="1192" t="str">
        <f>G2&amp;"("&amp;L2&amp;")"</f>
        <v>()</v>
      </c>
      <c r="S2" s="1852"/>
      <c r="T2" s="1852"/>
      <c r="U2" s="1112"/>
      <c r="V2" s="1852"/>
      <c r="W2" s="1852"/>
      <c r="X2" s="1852"/>
      <c r="Y2" s="1114"/>
      <c r="Z2" s="1114"/>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1111"/>
      <c r="AZ2" s="1111"/>
      <c r="BA2" s="1111"/>
      <c r="BB2" s="1111"/>
      <c r="BC2" s="1111"/>
      <c r="BD2" s="1111"/>
      <c r="BE2" s="1111"/>
      <c r="BF2" s="1111"/>
      <c r="BG2" s="1111"/>
      <c r="BH2" s="1111"/>
      <c r="BI2" s="1111"/>
      <c r="BJ2" s="1111"/>
      <c r="BK2" s="1111"/>
      <c r="BL2" s="1111"/>
      <c r="BM2" s="1111"/>
      <c r="BN2" s="1111"/>
      <c r="BO2" s="1111"/>
      <c r="BP2" s="1111"/>
      <c r="BQ2" s="1111"/>
      <c r="BR2" s="1111"/>
      <c r="BS2" s="1111"/>
      <c r="BT2" s="1111"/>
      <c r="BU2" s="1111"/>
      <c r="BV2" s="1114"/>
      <c r="BW2" s="1114"/>
      <c r="BX2" s="1114"/>
      <c r="BY2" s="1114"/>
      <c r="BZ2" s="1114"/>
      <c r="CA2" s="1114"/>
      <c r="CB2" s="1114"/>
      <c r="CC2" s="1114"/>
      <c r="CD2" s="1114"/>
      <c r="CE2" s="1114"/>
      <c r="IW2" s="1115">
        <v>0</v>
      </c>
    </row>
    <row s="61695" customFormat="1" customHeight="1" ht="5.25" hidden="1">
      <c r="A3" s="1188"/>
      <c r="D3" s="1186"/>
      <c r="F3" s="939" t="s">
        <v>84</v>
      </c>
      <c r="G3" s="2427" t="s">
        <v>85</v>
      </c>
      <c r="H3" s="1186"/>
      <c r="I3" s="1186"/>
      <c r="J3" s="1186"/>
      <c r="K3" s="1186"/>
      <c r="L3" s="919" t="s">
        <v>86</v>
      </c>
      <c r="M3" s="939" t="s">
        <v>84</v>
      </c>
      <c r="N3" s="939"/>
      <c r="O3" s="939"/>
      <c r="P3" s="939"/>
      <c r="Q3" s="940"/>
      <c r="R3" s="939"/>
      <c r="S3" s="939"/>
      <c r="T3" s="939"/>
      <c r="U3" s="939"/>
      <c r="V3" s="939"/>
      <c r="W3" s="919"/>
      <c r="X3" s="919"/>
      <c r="Y3" s="919"/>
      <c r="Z3" s="919"/>
      <c r="AA3" s="919"/>
      <c r="AB3" s="919"/>
      <c r="AC3" s="919"/>
      <c r="AD3" s="919"/>
      <c r="AE3" s="919"/>
      <c r="AF3" s="919"/>
      <c r="AG3" s="919"/>
      <c r="AH3" s="919"/>
      <c r="AI3" s="919"/>
      <c r="AJ3" s="919"/>
      <c r="AK3" s="919"/>
      <c r="AL3" s="919"/>
      <c r="AM3" s="919"/>
      <c r="AN3" s="919"/>
      <c r="AO3" s="919"/>
      <c r="AP3" s="919"/>
      <c r="AQ3" s="919"/>
      <c r="AR3" s="919"/>
      <c r="AS3" s="919"/>
      <c r="AT3" s="919"/>
      <c r="AU3" s="919"/>
      <c r="AV3" s="919"/>
      <c r="AW3" s="919"/>
      <c r="AX3" s="919"/>
      <c r="AY3" s="919"/>
      <c r="AZ3" s="919"/>
      <c r="BA3" s="919"/>
      <c r="BB3" s="919"/>
      <c r="BC3" s="919"/>
      <c r="BD3" s="919"/>
      <c r="BE3" s="919"/>
      <c r="BF3" s="919"/>
      <c r="BG3" s="919"/>
      <c r="BH3" s="919"/>
      <c r="BI3" s="919"/>
      <c r="BJ3" s="919"/>
      <c r="BK3" s="919"/>
      <c r="BL3" s="919"/>
      <c r="BM3" s="919"/>
      <c r="BN3" s="919"/>
      <c r="BO3" s="919"/>
      <c r="BP3" s="919"/>
      <c r="BQ3" s="919"/>
      <c r="BR3" s="919"/>
      <c r="BS3" s="919"/>
      <c r="BT3" s="919"/>
      <c r="BU3" s="919"/>
      <c r="BV3" s="919"/>
      <c r="BW3" s="919"/>
      <c r="BX3" s="919"/>
      <c r="BY3" s="919"/>
      <c r="BZ3" s="919"/>
      <c r="CA3" s="919"/>
      <c r="CB3" s="919"/>
      <c r="CC3" s="919"/>
      <c r="CD3" s="919"/>
      <c r="CE3" s="919"/>
      <c r="CF3" s="919"/>
      <c r="CG3" s="919"/>
      <c r="CH3" s="919"/>
      <c r="CI3" s="919"/>
      <c r="CJ3" s="919"/>
      <c r="CK3" s="919"/>
      <c r="CL3" s="919"/>
      <c r="CM3" s="919"/>
      <c r="CN3" s="919"/>
      <c r="CO3" s="919"/>
      <c r="CP3" s="919"/>
      <c r="CQ3" s="919"/>
      <c r="CR3" s="919"/>
      <c r="CS3" s="919"/>
      <c r="CT3" s="919"/>
      <c r="CU3" s="919"/>
      <c r="CV3" s="919"/>
      <c r="CW3" s="919"/>
      <c r="CX3" s="919"/>
      <c r="CY3" s="919"/>
      <c r="CZ3" s="919"/>
      <c r="DA3" s="919"/>
      <c r="DB3" s="919"/>
      <c r="DC3" s="919"/>
      <c r="DD3" s="919"/>
      <c r="DE3" s="919"/>
      <c r="DF3" s="919"/>
      <c r="DG3" s="919"/>
      <c r="DH3" s="919"/>
      <c r="DI3" s="919"/>
      <c r="DJ3" s="919"/>
      <c r="DK3" s="919"/>
      <c r="DL3" s="919"/>
      <c r="DM3" s="919"/>
      <c r="DN3" s="919"/>
      <c r="DO3" s="919"/>
      <c r="DP3" s="919"/>
      <c r="DQ3" s="919"/>
      <c r="DR3" s="919"/>
      <c r="DS3" s="919"/>
      <c r="DT3" s="919"/>
      <c r="DU3" s="919"/>
      <c r="DV3" s="919"/>
      <c r="DW3" s="919"/>
      <c r="DX3" s="919"/>
      <c r="DY3" s="919"/>
      <c r="DZ3" s="919"/>
      <c r="EA3" s="919"/>
      <c r="EB3" s="919"/>
      <c r="EC3" s="919"/>
      <c r="ED3" s="919"/>
      <c r="EE3" s="919"/>
      <c r="EF3" s="919"/>
      <c r="EG3" s="919"/>
      <c r="EH3" s="919"/>
      <c r="EI3" s="919"/>
      <c r="EJ3" s="919"/>
      <c r="EK3" s="919"/>
      <c r="EL3" s="919"/>
      <c r="EM3" s="919"/>
      <c r="EN3" s="919"/>
      <c r="EO3" s="919"/>
      <c r="EP3" s="919"/>
      <c r="EQ3" s="919"/>
      <c r="ER3" s="919"/>
      <c r="ES3" s="919"/>
      <c r="ET3" s="919"/>
      <c r="EU3" s="919"/>
      <c r="EV3" s="919"/>
      <c r="EW3" s="919"/>
      <c r="EX3" s="919"/>
      <c r="EY3" s="919"/>
      <c r="EZ3" s="919"/>
      <c r="FA3" s="919"/>
      <c r="FB3" s="919"/>
      <c r="FC3" s="919"/>
      <c r="FD3" s="919"/>
      <c r="FE3" s="919"/>
      <c r="FF3" s="919"/>
      <c r="FG3" s="919"/>
      <c r="FH3" s="919"/>
      <c r="FI3" s="919"/>
      <c r="FJ3" s="919"/>
      <c r="FK3" s="919"/>
      <c r="FL3" s="919"/>
      <c r="FM3" s="919"/>
      <c r="FN3" s="919"/>
      <c r="FO3" s="919"/>
      <c r="FP3" s="919"/>
      <c r="FQ3" s="919"/>
      <c r="FR3" s="919"/>
      <c r="FS3" s="919"/>
      <c r="FT3" s="919"/>
      <c r="FU3" s="919"/>
      <c r="FV3" s="919"/>
      <c r="FW3" s="919"/>
      <c r="FX3" s="919"/>
      <c r="FY3" s="919"/>
      <c r="FZ3" s="919"/>
      <c r="GA3" s="919"/>
      <c r="GB3" s="919"/>
      <c r="GC3" s="919"/>
      <c r="GD3" s="919"/>
      <c r="GE3" s="919"/>
      <c r="GF3" s="919"/>
      <c r="GG3" s="919"/>
      <c r="GH3" s="919"/>
      <c r="GI3" s="919"/>
      <c r="GJ3" s="919"/>
      <c r="GK3" s="919"/>
      <c r="GL3" s="919"/>
      <c r="GM3" s="919"/>
      <c r="GN3" s="919"/>
      <c r="GO3" s="919"/>
      <c r="GP3" s="919"/>
      <c r="GQ3" s="919"/>
      <c r="GR3" s="919"/>
      <c r="GS3" s="919"/>
      <c r="GT3" s="919"/>
      <c r="GU3" s="919"/>
      <c r="GV3" s="919"/>
      <c r="GW3" s="919"/>
      <c r="GX3" s="919"/>
      <c r="GY3" s="919"/>
      <c r="GZ3" s="919"/>
      <c r="HA3" s="919"/>
      <c r="HB3" s="919"/>
      <c r="HC3" s="919"/>
      <c r="HD3" s="919"/>
      <c r="HE3" s="919"/>
      <c r="HF3" s="919"/>
      <c r="HG3" s="919"/>
      <c r="HH3" s="919"/>
      <c r="HI3" s="919"/>
      <c r="HJ3" s="919"/>
      <c r="HK3" s="919"/>
      <c r="HL3" s="919"/>
      <c r="HM3" s="919"/>
      <c r="HN3" s="919"/>
      <c r="HO3" s="919"/>
      <c r="HP3" s="919"/>
      <c r="HQ3" s="919"/>
      <c r="HR3" s="919"/>
      <c r="HS3" s="919"/>
      <c r="HT3" s="919"/>
      <c r="HU3" s="919"/>
      <c r="HV3" s="919"/>
      <c r="HW3" s="919"/>
      <c r="HX3" s="919"/>
      <c r="HY3" s="919"/>
      <c r="HZ3" s="919"/>
      <c r="IA3" s="919"/>
      <c r="IB3" s="919"/>
      <c r="IC3" s="919"/>
      <c r="ID3" s="919"/>
      <c r="IE3" s="919"/>
      <c r="IF3" s="919"/>
      <c r="IG3" s="919"/>
      <c r="IH3" s="919"/>
      <c r="II3" s="919"/>
      <c r="IJ3" s="919"/>
      <c r="IK3" s="919"/>
      <c r="IL3" s="919"/>
      <c r="IM3" s="919"/>
      <c r="IN3" s="919"/>
      <c r="IO3" s="919"/>
      <c r="IP3" s="919"/>
      <c r="IQ3" s="919"/>
      <c r="IR3" s="919"/>
      <c r="IS3" s="919"/>
      <c r="IT3" s="919"/>
      <c r="IU3" s="919"/>
      <c r="IV3" s="919"/>
      <c r="IW3" s="1203">
        <v>0</v>
      </c>
    </row>
    <row s="58273" customFormat="1" customHeight="1" ht="14.699999999999998">
      <c r="A4" s="1847"/>
      <c r="B4" s="1852"/>
      <c r="C4" s="1847"/>
      <c r="D4" s="2187"/>
      <c r="E4" s="1201"/>
      <c r="F4" s="1201"/>
      <c r="G4" s="1201"/>
      <c r="H4" s="1201"/>
      <c r="I4" s="1201"/>
      <c r="J4" s="1201"/>
      <c r="K4" s="1201"/>
      <c r="L4" s="858"/>
      <c r="M4" s="939"/>
      <c r="N4" s="1192"/>
      <c r="O4" s="1192"/>
      <c r="P4" s="1192"/>
      <c r="Q4" s="918"/>
      <c r="R4" s="1192"/>
      <c r="S4" s="917"/>
      <c r="T4" s="917"/>
      <c r="U4" s="917"/>
      <c r="V4" s="917"/>
      <c r="IW4" s="1199">
        <v>14</v>
      </c>
    </row>
    <row s="58273" customFormat="1" customHeight="1" ht="27.299999999999997">
      <c r="A5" s="1847"/>
      <c r="B5" s="1852"/>
      <c r="C5" s="1847"/>
      <c r="D5" s="2187"/>
      <c r="E5" s="279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92"/>
      <c r="G5" s="2792"/>
      <c r="H5" s="2792"/>
      <c r="I5" s="2792"/>
      <c r="J5" s="2792"/>
      <c r="K5" s="2792"/>
      <c r="L5" s="1280"/>
      <c r="M5" s="939"/>
      <c r="N5" s="1192"/>
      <c r="O5" s="1192"/>
      <c r="P5" s="1192"/>
      <c r="Q5" s="918"/>
      <c r="R5" s="1192"/>
      <c r="S5" s="917"/>
      <c r="T5" s="917"/>
      <c r="U5" s="917"/>
      <c r="V5" s="917"/>
      <c r="IW5" s="1199">
        <v>26</v>
      </c>
    </row>
    <row s="58273" customFormat="1" customHeight="1" ht="14.699999999999998">
      <c r="A6" s="1847"/>
      <c r="B6" s="1852"/>
      <c r="C6" s="1847"/>
      <c r="D6" s="2187"/>
      <c r="E6" s="1201"/>
      <c r="F6" s="859"/>
      <c r="G6" s="859"/>
      <c r="H6" s="859"/>
      <c r="I6" s="859"/>
      <c r="J6" s="859"/>
      <c r="K6" s="859"/>
      <c r="L6" s="860"/>
      <c r="M6" s="1192"/>
      <c r="N6" s="1192"/>
      <c r="O6" s="1192"/>
      <c r="P6" s="1192"/>
      <c r="Q6" s="918"/>
      <c r="R6" s="1192"/>
      <c r="S6" s="917"/>
      <c r="T6" s="917"/>
      <c r="U6" s="917"/>
      <c r="V6" s="917"/>
      <c r="IW6" s="1199">
        <v>14</v>
      </c>
    </row>
    <row s="58273" customFormat="1" customHeight="1" ht="14.699999999999998">
      <c r="A7" s="1847"/>
      <c r="B7" s="1852"/>
      <c r="C7" s="1847"/>
      <c r="D7" s="2187"/>
      <c r="E7" s="2793" t="s">
        <v>375</v>
      </c>
      <c r="F7" s="2794"/>
      <c r="G7" s="2794"/>
      <c r="H7" s="2794"/>
      <c r="I7" s="2794"/>
      <c r="J7" s="2794"/>
      <c r="K7" s="2794"/>
      <c r="L7" s="3166" t="s">
        <v>376</v>
      </c>
      <c r="M7" s="1192"/>
      <c r="N7" s="1192"/>
      <c r="O7" s="1192"/>
      <c r="P7" s="1192"/>
      <c r="Q7" s="918"/>
      <c r="R7" s="1192"/>
      <c r="S7" s="917"/>
      <c r="T7" s="917"/>
      <c r="U7" s="917"/>
      <c r="V7" s="917"/>
      <c r="IW7" s="1199">
        <v>14</v>
      </c>
    </row>
    <row s="58273" customFormat="1" customHeight="1" ht="67.2">
      <c r="A8" s="1847"/>
      <c r="B8" s="1852"/>
      <c r="C8" s="1847"/>
      <c r="D8" s="2187"/>
      <c r="E8" s="3170" t="s">
        <v>89</v>
      </c>
      <c r="F8" s="317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17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173"/>
      <c r="I8" s="3174"/>
      <c r="J8" s="317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17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68"/>
      <c r="M8" s="1192"/>
      <c r="N8" s="1192"/>
      <c r="O8" s="1192"/>
      <c r="P8" s="1192"/>
      <c r="Q8" s="918"/>
      <c r="R8" s="1192"/>
      <c r="S8" s="917"/>
      <c r="T8" s="917"/>
      <c r="U8" s="917"/>
      <c r="V8" s="917"/>
      <c r="IW8" s="1199">
        <v>64</v>
      </c>
    </row>
    <row s="58273" customFormat="1" customHeight="1" ht="29.25">
      <c r="A9" s="1847"/>
      <c r="B9" s="1852"/>
      <c r="C9" s="1847"/>
      <c r="D9" s="2187"/>
      <c r="E9" s="3171"/>
      <c r="F9" s="3171"/>
      <c r="G9" s="2229" t="s">
        <v>1948</v>
      </c>
      <c r="H9" s="2229" t="s">
        <v>1949</v>
      </c>
      <c r="I9" s="2229" t="s">
        <v>1950</v>
      </c>
      <c r="J9" s="3171"/>
      <c r="K9" s="3171"/>
      <c r="L9" s="3167"/>
      <c r="M9" s="1192"/>
      <c r="N9" s="1192"/>
      <c r="O9" s="1192"/>
      <c r="P9" s="1192"/>
      <c r="Q9" s="918"/>
      <c r="R9" s="1192"/>
      <c r="S9" s="917"/>
      <c r="T9" s="917"/>
      <c r="U9" s="917"/>
      <c r="V9" s="917"/>
      <c r="IW9" s="1199">
        <v>28</v>
      </c>
    </row>
    <row s="63225" customFormat="1" customHeight="1" ht="23.25">
      <c r="A10" s="2791"/>
      <c r="B10" s="1852">
        <v>1</v>
      </c>
      <c r="C10" s="1852"/>
      <c r="D10" s="1492"/>
      <c r="E10" s="1490">
        <v>1</v>
      </c>
      <c r="F10" s="2231" t="str">
        <f>IF(ROIV_INFO_NAME="","",ROIV_INFO_NAME)</f>
        <v>АО "ДГК"</v>
      </c>
      <c r="G10" s="2424" t="s">
        <v>28</v>
      </c>
      <c r="H10" s="2608"/>
      <c r="I10" s="2226"/>
      <c r="J10" s="1510"/>
      <c r="K10" s="1510"/>
      <c r="L10" s="312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227">
        <f>MERGEVALUE(F10)</f>
      </c>
      <c r="N10" s="1203"/>
      <c r="O10" s="1203"/>
      <c r="P10" s="1192" t="str">
        <f t="array" ref="P10:P10">IF(ISERROR(MATCH(MID(Q10,1,250),MID(note_ter,1,250),0)),"n","y")</f>
        <v>n</v>
      </c>
      <c r="Q10" s="1203"/>
      <c r="R10" s="119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52"/>
      <c r="T10" s="1852"/>
      <c r="U10" s="1112"/>
      <c r="V10" s="1852"/>
      <c r="W10" s="1852"/>
      <c r="X10" s="1852"/>
      <c r="Y10" s="1114"/>
      <c r="Z10" s="1114"/>
      <c r="AA10" s="1111"/>
      <c r="AB10" s="1111"/>
      <c r="AC10" s="1111"/>
      <c r="AD10" s="1111"/>
      <c r="AE10" s="1111"/>
      <c r="AF10" s="1111"/>
      <c r="AG10" s="1111"/>
      <c r="AH10" s="1111"/>
      <c r="AI10" s="1111"/>
      <c r="AJ10" s="1111"/>
      <c r="AK10" s="1111"/>
      <c r="AL10" s="1111"/>
      <c r="AM10" s="1111"/>
      <c r="AN10" s="1111"/>
      <c r="AO10" s="1111"/>
      <c r="AP10" s="1111"/>
      <c r="AQ10" s="1111"/>
      <c r="AR10" s="1111"/>
      <c r="AS10" s="1111"/>
      <c r="AT10" s="1111"/>
      <c r="AU10" s="1111"/>
      <c r="AV10" s="1111"/>
      <c r="AW10" s="1111"/>
      <c r="AX10" s="1111"/>
      <c r="AY10" s="1111"/>
      <c r="AZ10" s="1111"/>
      <c r="BA10" s="1111"/>
      <c r="BB10" s="1111"/>
      <c r="BC10" s="1111"/>
      <c r="BD10" s="1111"/>
      <c r="BE10" s="1111"/>
      <c r="BF10" s="1111"/>
      <c r="BG10" s="1111"/>
      <c r="BH10" s="1111"/>
      <c r="BI10" s="1111"/>
      <c r="BJ10" s="1111"/>
      <c r="BK10" s="1111"/>
      <c r="BL10" s="1111"/>
      <c r="BM10" s="1111"/>
      <c r="BN10" s="1111"/>
      <c r="BO10" s="1111"/>
      <c r="BP10" s="1111"/>
      <c r="BQ10" s="1111"/>
      <c r="BR10" s="1111"/>
      <c r="BS10" s="1111"/>
      <c r="BT10" s="1111"/>
      <c r="BU10" s="1111"/>
      <c r="BV10" s="1114"/>
      <c r="BW10" s="1114"/>
      <c r="BX10" s="1114"/>
      <c r="BY10" s="1114"/>
      <c r="BZ10" s="1114"/>
      <c r="CA10" s="1114"/>
      <c r="CB10" s="1114"/>
      <c r="CC10" s="1114"/>
      <c r="CD10" s="1114"/>
      <c r="CE10" s="1114"/>
      <c r="IW10" s="1115">
        <v>22</v>
      </c>
    </row>
    <row s="63225" customFormat="1" customHeight="1" ht="15.75">
      <c r="A11" s="2791"/>
      <c r="B11" s="1852"/>
      <c r="C11" s="1104"/>
      <c r="D11" s="1493"/>
      <c r="E11" s="1113"/>
      <c r="F11" s="1108" t="s">
        <v>1951</v>
      </c>
      <c r="G11" s="879"/>
      <c r="H11" s="879"/>
      <c r="I11" s="879"/>
      <c r="J11" s="879"/>
      <c r="K11" s="1116"/>
      <c r="L11" s="3169"/>
      <c r="M11" s="2228"/>
      <c r="N11" s="1203"/>
      <c r="O11" s="1203"/>
      <c r="P11" s="1203"/>
      <c r="Q11" s="1192"/>
      <c r="R11" s="1203"/>
      <c r="S11" s="1852"/>
      <c r="T11" s="1852"/>
      <c r="U11" s="1112"/>
      <c r="V11" s="1852"/>
      <c r="W11" s="1852"/>
      <c r="X11" s="1852"/>
      <c r="Y11" s="1114"/>
      <c r="Z11" s="1114"/>
      <c r="AA11" s="1111"/>
      <c r="AB11" s="1111"/>
      <c r="AC11" s="1111"/>
      <c r="AD11" s="1111"/>
      <c r="AE11" s="1111"/>
      <c r="AF11" s="1111"/>
      <c r="AG11" s="1111"/>
      <c r="AH11" s="1111"/>
      <c r="AI11" s="1111"/>
      <c r="AJ11" s="1111"/>
      <c r="AK11" s="1111"/>
      <c r="AL11" s="1111"/>
      <c r="AM11" s="1111"/>
      <c r="AN11" s="1111"/>
      <c r="AO11" s="1111"/>
      <c r="AP11" s="1111"/>
      <c r="AQ11" s="1111"/>
      <c r="AR11" s="1111"/>
      <c r="AS11" s="1111"/>
      <c r="AT11" s="1111"/>
      <c r="AU11" s="1111"/>
      <c r="AV11" s="1111"/>
      <c r="AW11" s="1111"/>
      <c r="AX11" s="1111"/>
      <c r="AY11" s="1111"/>
      <c r="AZ11" s="1111"/>
      <c r="BA11" s="1111"/>
      <c r="BB11" s="1111"/>
      <c r="BC11" s="1111"/>
      <c r="BD11" s="1111"/>
      <c r="BE11" s="1111"/>
      <c r="BF11" s="1111"/>
      <c r="BG11" s="1111"/>
      <c r="BH11" s="1111"/>
      <c r="BI11" s="1111"/>
      <c r="BJ11" s="1111"/>
      <c r="BK11" s="1111"/>
      <c r="BL11" s="1111"/>
      <c r="BM11" s="1111"/>
      <c r="BN11" s="1111"/>
      <c r="BO11" s="1111"/>
      <c r="BP11" s="1111"/>
      <c r="BQ11" s="1111"/>
      <c r="BR11" s="1111"/>
      <c r="BS11" s="1111"/>
      <c r="BT11" s="1111"/>
      <c r="BU11" s="1111"/>
      <c r="BV11" s="1114"/>
      <c r="BW11" s="1114"/>
      <c r="BX11" s="1114"/>
      <c r="BY11" s="1114"/>
      <c r="BZ11" s="1114"/>
      <c r="CA11" s="1114"/>
      <c r="CB11" s="1114"/>
      <c r="CC11" s="1114"/>
      <c r="CD11" s="1114"/>
      <c r="CE11" s="1114"/>
      <c r="IW11" s="1115">
        <v>15</v>
      </c>
    </row>
    <row s="58273" customFormat="1" customHeight="1" ht="22.049999999999997">
      <c r="A12" s="1847"/>
      <c r="B12" s="1852"/>
      <c r="C12" s="1847"/>
      <c r="D12" s="1143"/>
      <c r="E12" s="872"/>
      <c r="F12" s="872"/>
      <c r="G12" s="872"/>
      <c r="H12" s="872"/>
      <c r="I12" s="872"/>
      <c r="J12" s="872"/>
      <c r="K12" s="872"/>
      <c r="L12" s="872"/>
      <c r="M12" s="1192"/>
      <c r="N12" s="1192"/>
      <c r="O12" s="1192"/>
      <c r="P12" s="1192"/>
      <c r="Q12" s="918"/>
      <c r="R12" s="1192"/>
      <c r="S12" s="917"/>
      <c r="T12" s="917"/>
      <c r="U12" s="917"/>
      <c r="V12" s="917"/>
      <c r="IW12" s="1199">
        <v>21</v>
      </c>
    </row>
    <row s="58273" customFormat="1" customHeight="1" ht="14.699999999999998">
      <c r="A13" s="1847"/>
      <c r="B13" s="1852"/>
      <c r="C13" s="1847"/>
      <c r="D13" s="1143"/>
      <c r="E13" s="1847"/>
      <c r="F13" s="1847"/>
      <c r="G13" s="1847"/>
      <c r="H13" s="1847"/>
      <c r="I13" s="1847"/>
      <c r="J13" s="1847"/>
      <c r="K13" s="1847"/>
      <c r="L13" s="1847"/>
      <c r="M13" s="1192"/>
      <c r="N13" s="1192"/>
      <c r="O13" s="1192"/>
      <c r="P13" s="1192"/>
      <c r="Q13" s="918"/>
      <c r="R13" s="1192"/>
      <c r="S13" s="917"/>
      <c r="T13" s="917"/>
      <c r="U13" s="917"/>
      <c r="V13" s="917"/>
      <c r="IW13" s="1199">
        <v>14</v>
      </c>
    </row>
    <row s="58273" customFormat="1" customHeight="1" ht="1.05">
      <c r="A14" s="1847"/>
      <c r="B14" s="1852"/>
      <c r="C14" s="1847"/>
      <c r="D14" s="1143"/>
      <c r="E14" s="1847"/>
      <c r="F14" s="1847"/>
      <c r="G14" s="1847"/>
      <c r="H14" s="1847"/>
      <c r="I14" s="1847"/>
      <c r="J14" s="1847"/>
      <c r="K14" s="1847"/>
      <c r="L14" s="1847"/>
      <c r="M14" s="1192"/>
      <c r="N14" s="1192"/>
      <c r="O14" s="1192"/>
      <c r="P14" s="1192"/>
      <c r="Q14" s="918"/>
      <c r="R14" s="1192"/>
      <c r="S14" s="917"/>
      <c r="T14" s="917"/>
      <c r="U14" s="917"/>
      <c r="V14" s="917"/>
      <c r="IW14" s="1199">
        <v>1</v>
      </c>
    </row>
    <row customHeight="1" ht="22.5" hidden="1">
      <c r="A15" s="1847" t="s">
        <v>83</v>
      </c>
      <c r="B15" s="1852">
        <v>0</v>
      </c>
      <c r="C15" s="1847">
        <v>0</v>
      </c>
      <c r="D15" s="1143">
        <v>3</v>
      </c>
      <c r="E15" s="1847">
        <v>6</v>
      </c>
      <c r="F15" s="1847">
        <v>27</v>
      </c>
      <c r="G15" s="1847">
        <v>16</v>
      </c>
      <c r="H15" s="1847">
        <v>12</v>
      </c>
      <c r="I15" s="1847">
        <v>32</v>
      </c>
      <c r="J15" s="1847">
        <v>41</v>
      </c>
      <c r="K15" s="1847">
        <v>41</v>
      </c>
      <c r="L15" s="1847">
        <v>89</v>
      </c>
      <c r="M15" s="1192">
        <v>3</v>
      </c>
      <c r="N15" s="1192">
        <v>8</v>
      </c>
      <c r="O15" s="1192">
        <v>8</v>
      </c>
      <c r="P15" s="1192">
        <v>8</v>
      </c>
      <c r="Q15" s="918">
        <v>25</v>
      </c>
      <c r="R15" s="1192">
        <v>14</v>
      </c>
      <c r="S15" s="917">
        <v>8</v>
      </c>
      <c r="T15" s="917">
        <v>8</v>
      </c>
      <c r="U15" s="917">
        <v>8</v>
      </c>
      <c r="V15" s="917">
        <v>8</v>
      </c>
      <c r="W15" s="1847">
        <v>8</v>
      </c>
      <c r="X15" s="1847">
        <v>8</v>
      </c>
      <c r="Y15" s="1847">
        <v>8</v>
      </c>
      <c r="Z15" s="1847">
        <v>8</v>
      </c>
      <c r="AA15" s="1847">
        <v>8</v>
      </c>
      <c r="AB15" s="1847">
        <v>8</v>
      </c>
      <c r="AC15" s="1847">
        <v>8</v>
      </c>
      <c r="AD15" s="1847">
        <v>8</v>
      </c>
      <c r="AE15" s="1847">
        <v>8</v>
      </c>
      <c r="AF15" s="1847">
        <v>8</v>
      </c>
      <c r="AG15" s="1847">
        <v>8</v>
      </c>
      <c r="AH15" s="1847">
        <v>8</v>
      </c>
      <c r="AI15" s="1847">
        <v>8</v>
      </c>
      <c r="AJ15" s="1847">
        <v>8</v>
      </c>
      <c r="AK15" s="1847">
        <v>8</v>
      </c>
      <c r="AL15" s="1847">
        <v>8</v>
      </c>
      <c r="AM15" s="1847">
        <v>8</v>
      </c>
      <c r="AN15" s="1847">
        <v>8</v>
      </c>
      <c r="AO15" s="1847">
        <v>8</v>
      </c>
      <c r="AP15" s="1847">
        <v>8</v>
      </c>
      <c r="AQ15" s="1847">
        <v>8</v>
      </c>
      <c r="AR15" s="1847">
        <v>8</v>
      </c>
      <c r="AS15" s="1847">
        <v>8</v>
      </c>
      <c r="AT15" s="1847">
        <v>8</v>
      </c>
      <c r="AU15" s="1847">
        <v>8</v>
      </c>
      <c r="AV15" s="1847">
        <v>8</v>
      </c>
      <c r="AW15" s="1847">
        <v>8</v>
      </c>
      <c r="AX15" s="1847">
        <v>8</v>
      </c>
      <c r="AY15" s="1847">
        <v>8</v>
      </c>
      <c r="AZ15" s="1847">
        <v>8</v>
      </c>
      <c r="BA15" s="1847">
        <v>8</v>
      </c>
      <c r="BB15" s="1847">
        <v>8</v>
      </c>
      <c r="BC15" s="1847">
        <v>8</v>
      </c>
      <c r="BD15" s="1847">
        <v>8</v>
      </c>
      <c r="BE15" s="1847">
        <v>8</v>
      </c>
      <c r="BF15" s="1847">
        <v>8</v>
      </c>
      <c r="BG15" s="1847">
        <v>8</v>
      </c>
      <c r="BH15" s="1847">
        <v>8</v>
      </c>
      <c r="BI15" s="1847">
        <v>8</v>
      </c>
      <c r="BJ15" s="1847">
        <v>8</v>
      </c>
      <c r="BK15" s="1847">
        <v>8</v>
      </c>
      <c r="BL15" s="1847">
        <v>8</v>
      </c>
      <c r="BM15" s="1847">
        <v>8</v>
      </c>
      <c r="BN15" s="1847">
        <v>8</v>
      </c>
      <c r="BO15" s="1847">
        <v>8</v>
      </c>
      <c r="BP15" s="1847">
        <v>8</v>
      </c>
      <c r="BQ15" s="1847">
        <v>8</v>
      </c>
      <c r="BR15" s="1847">
        <v>8</v>
      </c>
      <c r="BS15" s="1847">
        <v>8</v>
      </c>
      <c r="BT15" s="1847">
        <v>8</v>
      </c>
      <c r="BU15" s="1847">
        <v>8</v>
      </c>
      <c r="BV15" s="1847">
        <v>8</v>
      </c>
      <c r="BW15" s="1847">
        <v>8</v>
      </c>
      <c r="BX15" s="1847">
        <v>8</v>
      </c>
      <c r="BY15" s="1847">
        <v>8</v>
      </c>
      <c r="BZ15" s="1847">
        <v>8</v>
      </c>
      <c r="CA15" s="1847">
        <v>8</v>
      </c>
      <c r="CB15" s="1847">
        <v>8</v>
      </c>
      <c r="CC15" s="1847">
        <v>8</v>
      </c>
      <c r="CD15" s="1847">
        <v>8</v>
      </c>
      <c r="CE15" s="1847">
        <v>8</v>
      </c>
      <c r="CF15" s="1847">
        <v>8</v>
      </c>
      <c r="CG15" s="1847">
        <v>8</v>
      </c>
      <c r="CH15" s="1847">
        <v>8</v>
      </c>
      <c r="CI15" s="1847">
        <v>8</v>
      </c>
      <c r="CJ15" s="1847">
        <v>8</v>
      </c>
      <c r="CK15" s="1847">
        <v>8</v>
      </c>
      <c r="CL15" s="1847">
        <v>8</v>
      </c>
      <c r="CM15" s="1847">
        <v>8</v>
      </c>
      <c r="CN15" s="1847">
        <v>8</v>
      </c>
      <c r="CO15" s="1847">
        <v>8</v>
      </c>
      <c r="CP15" s="1847">
        <v>8</v>
      </c>
      <c r="CQ15" s="1847">
        <v>8</v>
      </c>
      <c r="CR15" s="1847">
        <v>8</v>
      </c>
      <c r="CS15" s="1847">
        <v>8</v>
      </c>
      <c r="CT15" s="1847">
        <v>8</v>
      </c>
      <c r="CU15" s="1847">
        <v>8</v>
      </c>
      <c r="CV15" s="1847">
        <v>8</v>
      </c>
      <c r="CW15" s="1847">
        <v>8</v>
      </c>
      <c r="CX15" s="1847">
        <v>8</v>
      </c>
      <c r="CY15" s="1847">
        <v>8</v>
      </c>
      <c r="CZ15" s="1847">
        <v>8</v>
      </c>
      <c r="DA15" s="1847">
        <v>8</v>
      </c>
      <c r="DB15" s="1847">
        <v>8</v>
      </c>
      <c r="DC15" s="1847">
        <v>8</v>
      </c>
      <c r="DD15" s="1847">
        <v>8</v>
      </c>
      <c r="DE15" s="1847">
        <v>8</v>
      </c>
      <c r="DF15" s="1847">
        <v>8</v>
      </c>
      <c r="DG15" s="1847">
        <v>8</v>
      </c>
      <c r="DH15" s="1847">
        <v>8</v>
      </c>
      <c r="DI15" s="1847">
        <v>8</v>
      </c>
      <c r="DJ15" s="1847">
        <v>8</v>
      </c>
      <c r="DK15" s="1847">
        <v>8</v>
      </c>
      <c r="DL15" s="1847">
        <v>8</v>
      </c>
      <c r="DM15" s="1847">
        <v>8</v>
      </c>
      <c r="DN15" s="1847">
        <v>8</v>
      </c>
      <c r="DO15" s="1847">
        <v>8</v>
      </c>
      <c r="DP15" s="1847">
        <v>8</v>
      </c>
      <c r="DQ15" s="1847">
        <v>8</v>
      </c>
      <c r="DR15" s="1847">
        <v>8</v>
      </c>
      <c r="DS15" s="1847">
        <v>8</v>
      </c>
      <c r="DT15" s="1847">
        <v>8</v>
      </c>
      <c r="DU15" s="1847">
        <v>8</v>
      </c>
      <c r="DV15" s="1847">
        <v>8</v>
      </c>
      <c r="DW15" s="1847">
        <v>8</v>
      </c>
      <c r="DX15" s="1847">
        <v>8</v>
      </c>
      <c r="DY15" s="1847">
        <v>8</v>
      </c>
      <c r="DZ15" s="1847">
        <v>8</v>
      </c>
      <c r="EA15" s="1847">
        <v>8</v>
      </c>
      <c r="EB15" s="1847">
        <v>8</v>
      </c>
      <c r="EC15" s="1847">
        <v>8</v>
      </c>
      <c r="ED15" s="1847">
        <v>8</v>
      </c>
      <c r="EE15" s="1847">
        <v>8</v>
      </c>
      <c r="EF15" s="1847">
        <v>8</v>
      </c>
      <c r="EG15" s="1847">
        <v>8</v>
      </c>
      <c r="EH15" s="1847">
        <v>8</v>
      </c>
      <c r="EI15" s="1847">
        <v>8</v>
      </c>
      <c r="EJ15" s="1847">
        <v>8</v>
      </c>
      <c r="EK15" s="1847">
        <v>8</v>
      </c>
      <c r="EL15" s="1847">
        <v>8</v>
      </c>
      <c r="EM15" s="1847">
        <v>8</v>
      </c>
      <c r="EN15" s="1847">
        <v>8</v>
      </c>
      <c r="EO15" s="1847">
        <v>8</v>
      </c>
      <c r="EP15" s="1847">
        <v>8</v>
      </c>
      <c r="EQ15" s="1847">
        <v>8</v>
      </c>
      <c r="ER15" s="1847">
        <v>8</v>
      </c>
      <c r="ES15" s="1847">
        <v>8</v>
      </c>
      <c r="ET15" s="1847">
        <v>8</v>
      </c>
      <c r="EU15" s="1847">
        <v>8</v>
      </c>
      <c r="EV15" s="1847">
        <v>8</v>
      </c>
      <c r="EW15" s="1847">
        <v>8</v>
      </c>
      <c r="EX15" s="1847">
        <v>8</v>
      </c>
      <c r="EY15" s="1847">
        <v>8</v>
      </c>
      <c r="EZ15" s="1847">
        <v>8</v>
      </c>
      <c r="FA15" s="1847">
        <v>8</v>
      </c>
      <c r="FB15" s="1847">
        <v>8</v>
      </c>
      <c r="FC15" s="1847">
        <v>8</v>
      </c>
      <c r="FD15" s="1847">
        <v>8</v>
      </c>
      <c r="FE15" s="1847">
        <v>8</v>
      </c>
      <c r="FF15" s="1847">
        <v>8</v>
      </c>
      <c r="FG15" s="1847">
        <v>8</v>
      </c>
      <c r="FH15" s="1847">
        <v>8</v>
      </c>
      <c r="FI15" s="1847">
        <v>8</v>
      </c>
      <c r="FJ15" s="1847">
        <v>8</v>
      </c>
      <c r="FK15" s="1847">
        <v>8</v>
      </c>
      <c r="FL15" s="1847">
        <v>8</v>
      </c>
      <c r="FM15" s="1847">
        <v>8</v>
      </c>
      <c r="FN15" s="1847">
        <v>8</v>
      </c>
      <c r="FO15" s="1847">
        <v>8</v>
      </c>
      <c r="FP15" s="1847">
        <v>8</v>
      </c>
      <c r="FQ15" s="1847">
        <v>8</v>
      </c>
      <c r="FR15" s="1847">
        <v>8</v>
      </c>
      <c r="FS15" s="1847">
        <v>8</v>
      </c>
      <c r="FT15" s="1847">
        <v>8</v>
      </c>
      <c r="FU15" s="1847">
        <v>8</v>
      </c>
      <c r="FV15" s="1847">
        <v>8</v>
      </c>
      <c r="FW15" s="1847">
        <v>8</v>
      </c>
      <c r="FX15" s="1847">
        <v>8</v>
      </c>
      <c r="FY15" s="1847">
        <v>8</v>
      </c>
      <c r="FZ15" s="1847">
        <v>8</v>
      </c>
      <c r="GA15" s="1847">
        <v>8</v>
      </c>
      <c r="GB15" s="1847">
        <v>8</v>
      </c>
      <c r="GC15" s="1847">
        <v>8</v>
      </c>
      <c r="GD15" s="1847">
        <v>8</v>
      </c>
      <c r="GE15" s="1847">
        <v>8</v>
      </c>
      <c r="GF15" s="1847">
        <v>8</v>
      </c>
      <c r="GG15" s="1847">
        <v>8</v>
      </c>
      <c r="GH15" s="1847">
        <v>8</v>
      </c>
      <c r="GI15" s="1847">
        <v>8</v>
      </c>
      <c r="GJ15" s="1847">
        <v>8</v>
      </c>
      <c r="GK15" s="1847">
        <v>8</v>
      </c>
      <c r="GL15" s="1847">
        <v>8</v>
      </c>
      <c r="GM15" s="1847">
        <v>8</v>
      </c>
      <c r="GN15" s="1847">
        <v>8</v>
      </c>
      <c r="GO15" s="1847">
        <v>8</v>
      </c>
      <c r="GP15" s="1847">
        <v>8</v>
      </c>
      <c r="GQ15" s="1847">
        <v>8</v>
      </c>
      <c r="GR15" s="1847">
        <v>8</v>
      </c>
      <c r="GS15" s="1847">
        <v>8</v>
      </c>
      <c r="GT15" s="1847">
        <v>8</v>
      </c>
      <c r="GU15" s="1847">
        <v>8</v>
      </c>
      <c r="GV15" s="1847">
        <v>8</v>
      </c>
      <c r="GW15" s="1847">
        <v>8</v>
      </c>
      <c r="GX15" s="1847">
        <v>8</v>
      </c>
      <c r="GY15" s="1847">
        <v>8</v>
      </c>
      <c r="GZ15" s="1847">
        <v>8</v>
      </c>
      <c r="HA15" s="1847">
        <v>8</v>
      </c>
      <c r="HB15" s="1847">
        <v>8</v>
      </c>
      <c r="HC15" s="1847">
        <v>8</v>
      </c>
      <c r="HD15" s="1847">
        <v>8</v>
      </c>
      <c r="HE15" s="1847">
        <v>8</v>
      </c>
      <c r="HF15" s="1847">
        <v>8</v>
      </c>
      <c r="HG15" s="1847">
        <v>8</v>
      </c>
      <c r="HH15" s="1847">
        <v>8</v>
      </c>
      <c r="HI15" s="1847">
        <v>8</v>
      </c>
      <c r="HJ15" s="1847">
        <v>8</v>
      </c>
      <c r="HK15" s="1847">
        <v>8</v>
      </c>
      <c r="HL15" s="1847">
        <v>8</v>
      </c>
      <c r="HM15" s="1847">
        <v>8</v>
      </c>
      <c r="HN15" s="1847">
        <v>8</v>
      </c>
      <c r="HO15" s="1847">
        <v>8</v>
      </c>
      <c r="HP15" s="1847">
        <v>8</v>
      </c>
      <c r="HQ15" s="1847">
        <v>8</v>
      </c>
      <c r="HR15" s="1847">
        <v>8</v>
      </c>
      <c r="HS15" s="1847">
        <v>8</v>
      </c>
      <c r="HT15" s="1847">
        <v>8</v>
      </c>
      <c r="HU15" s="1847">
        <v>8</v>
      </c>
      <c r="HV15" s="1847">
        <v>8</v>
      </c>
      <c r="HW15" s="1847">
        <v>8</v>
      </c>
      <c r="HX15" s="1847">
        <v>8</v>
      </c>
      <c r="HY15" s="1847">
        <v>8</v>
      </c>
      <c r="HZ15" s="1847">
        <v>8</v>
      </c>
      <c r="IA15" s="1847">
        <v>8</v>
      </c>
      <c r="IB15" s="1847">
        <v>8</v>
      </c>
      <c r="IC15" s="1847">
        <v>8</v>
      </c>
      <c r="ID15" s="1847">
        <v>8</v>
      </c>
      <c r="IE15" s="1847">
        <v>8</v>
      </c>
      <c r="IF15" s="1847">
        <v>8</v>
      </c>
      <c r="IG15" s="1847">
        <v>8</v>
      </c>
      <c r="IH15" s="1847">
        <v>8</v>
      </c>
      <c r="II15" s="1847">
        <v>8</v>
      </c>
      <c r="IJ15" s="1847">
        <v>8</v>
      </c>
      <c r="IK15" s="1847">
        <v>8</v>
      </c>
      <c r="IL15" s="1847">
        <v>8</v>
      </c>
      <c r="IM15" s="1847">
        <v>8</v>
      </c>
      <c r="IN15" s="1847">
        <v>8</v>
      </c>
      <c r="IO15" s="1847">
        <v>8</v>
      </c>
      <c r="IP15" s="1847">
        <v>8</v>
      </c>
      <c r="IQ15" s="1847">
        <v>8</v>
      </c>
      <c r="IR15" s="1847">
        <v>8</v>
      </c>
      <c r="IS15" s="1847">
        <v>8</v>
      </c>
      <c r="IT15" s="1847">
        <v>8</v>
      </c>
      <c r="IU15" s="1847">
        <v>8</v>
      </c>
      <c r="IV15" s="1847">
        <v>8</v>
      </c>
      <c r="IW15" s="1847">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C829CA-43AD-0AE4-1FDF-BD9237322E26}"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62286" width="9.140625" hidden="1"/>
    <col min="2" max="2" style="62148" width="9.140625" hidden="1"/>
    <col min="3" max="3" style="62286" width="3.7109375" hidden="1" customWidth="1"/>
    <col min="4" max="4" style="62687" width="3.00390625" customWidth="1"/>
    <col min="5" max="5" style="62286" width="6.00390625" customWidth="1"/>
    <col min="6" max="6" style="62286" width="27.00390625" customWidth="1"/>
    <col min="7" max="7" style="62286" width="16.00390625" customWidth="1"/>
    <col min="8" max="8" style="62286" width="12.00390625" customWidth="1"/>
    <col min="9" max="9" style="62286" width="32.00390625" customWidth="1"/>
    <col min="10" max="11" style="62286" width="41.00390625" customWidth="1"/>
    <col min="12" max="12" style="62286" width="89.00390625" customWidth="1"/>
    <col min="13" max="13" style="62151" width="3.00390625" customWidth="1"/>
    <col min="14" max="16" style="62151" width="8.00390625" customWidth="1"/>
    <col min="17" max="17" style="62151" width="25.00390625" customWidth="1"/>
    <col min="18" max="18" style="62151" width="14.00390625" customWidth="1"/>
    <col min="19" max="22" style="57600" width="8.00390625" customWidth="1"/>
    <col min="23" max="256" style="62286" width="8.00390625" customWidth="1"/>
    <col min="257" max="257" style="62286" width="9.140625" hidden="1"/>
  </cols>
  <sheetData>
    <row customHeight="1" ht="22.5" hidden="1">
      <c r="IW1" s="2323" t="s">
        <v>14</v>
      </c>
    </row>
    <row s="63225" customFormat="1" customHeight="1" ht="22.5" hidden="1">
      <c r="A2" s="1523"/>
      <c r="B2" s="2058">
        <v>1</v>
      </c>
      <c r="C2" s="2058"/>
      <c r="D2" s="2620" t="s">
        <v>104</v>
      </c>
      <c r="E2" s="2596"/>
      <c r="F2" s="2598" t="str">
        <f>IF(ROIV_INFO_NAME="","",ROIV_INFO_NAME)</f>
        <v>АО "ДГК"</v>
      </c>
      <c r="G2" s="2424" t="s">
        <v>28</v>
      </c>
      <c r="H2" s="2608"/>
      <c r="I2" s="2230"/>
      <c r="J2" s="1510"/>
      <c r="K2" s="1510"/>
      <c r="L2" s="920"/>
      <c r="M2" s="2227">
        <f>MERGEVALUE(F2)</f>
      </c>
      <c r="N2" s="2328"/>
      <c r="O2" s="2328"/>
      <c r="P2" s="2316" t="str">
        <f t="array" ref="P2:P2">IF(ISERROR(MATCH(MID(Q2,1,250),MID(note_ter,1,250),0)),"n","y")</f>
        <v>n</v>
      </c>
      <c r="Q2" s="2328"/>
      <c r="R2" s="2316" t="str">
        <f>G2&amp;"("&amp;L2&amp;")"</f>
        <v>()</v>
      </c>
      <c r="S2" s="2058"/>
      <c r="T2" s="2058"/>
      <c r="U2" s="1112"/>
      <c r="V2" s="2058"/>
      <c r="W2" s="2058"/>
      <c r="X2" s="2058"/>
      <c r="Y2" s="1525"/>
      <c r="Z2" s="1525"/>
      <c r="AA2" s="1319"/>
      <c r="AB2" s="1319"/>
      <c r="AC2" s="1319"/>
      <c r="AD2" s="1319"/>
      <c r="AE2" s="1319"/>
      <c r="AF2" s="1319"/>
      <c r="AG2" s="1319"/>
      <c r="AH2" s="1319"/>
      <c r="AI2" s="1319"/>
      <c r="AJ2" s="1319"/>
      <c r="AK2" s="1319"/>
      <c r="AL2" s="1319"/>
      <c r="AM2" s="1319"/>
      <c r="AN2" s="1319"/>
      <c r="AO2" s="1319"/>
      <c r="AP2" s="1319"/>
      <c r="AQ2" s="1319"/>
      <c r="AR2" s="1319"/>
      <c r="AS2" s="1319"/>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c r="BP2" s="1319"/>
      <c r="BQ2" s="1319"/>
      <c r="BR2" s="1319"/>
      <c r="BS2" s="1319"/>
      <c r="BT2" s="1319"/>
      <c r="BU2" s="1319"/>
      <c r="BV2" s="1525"/>
      <c r="BW2" s="1525"/>
      <c r="BX2" s="1525"/>
      <c r="BY2" s="1525"/>
      <c r="BZ2" s="1525"/>
      <c r="CA2" s="1525"/>
      <c r="CB2" s="1525"/>
      <c r="CC2" s="1525"/>
      <c r="CD2" s="1525"/>
      <c r="CE2" s="1525"/>
      <c r="IW2" s="1316">
        <v>0</v>
      </c>
    </row>
    <row s="61695" customFormat="1" customHeight="1" ht="5.25" hidden="1">
      <c r="A3" s="2333"/>
      <c r="D3" s="2585"/>
      <c r="F3" s="940" t="s">
        <v>84</v>
      </c>
      <c r="G3" s="2427" t="s">
        <v>85</v>
      </c>
      <c r="H3" s="2585"/>
      <c r="I3" s="2585"/>
      <c r="J3" s="2585"/>
      <c r="K3" s="2585"/>
      <c r="L3" s="919" t="s">
        <v>86</v>
      </c>
      <c r="M3" s="940" t="s">
        <v>84</v>
      </c>
      <c r="N3" s="940"/>
      <c r="O3" s="940"/>
      <c r="P3" s="940"/>
      <c r="Q3" s="940"/>
      <c r="R3" s="940"/>
      <c r="S3" s="940"/>
      <c r="T3" s="940"/>
      <c r="U3" s="940"/>
      <c r="V3" s="940"/>
      <c r="W3" s="919"/>
      <c r="X3" s="919"/>
      <c r="Y3" s="919"/>
      <c r="Z3" s="919"/>
      <c r="AA3" s="919"/>
      <c r="AB3" s="919"/>
      <c r="AC3" s="919"/>
      <c r="AD3" s="919"/>
      <c r="AE3" s="919"/>
      <c r="AF3" s="919"/>
      <c r="AG3" s="919"/>
      <c r="AH3" s="919"/>
      <c r="AI3" s="919"/>
      <c r="AJ3" s="919"/>
      <c r="AK3" s="919"/>
      <c r="AL3" s="919"/>
      <c r="AM3" s="919"/>
      <c r="AN3" s="919"/>
      <c r="AO3" s="919"/>
      <c r="AP3" s="919"/>
      <c r="AQ3" s="919"/>
      <c r="AR3" s="919"/>
      <c r="AS3" s="919"/>
      <c r="AT3" s="919"/>
      <c r="AU3" s="919"/>
      <c r="AV3" s="919"/>
      <c r="AW3" s="919"/>
      <c r="AX3" s="919"/>
      <c r="AY3" s="919"/>
      <c r="AZ3" s="919"/>
      <c r="BA3" s="919"/>
      <c r="BB3" s="919"/>
      <c r="BC3" s="919"/>
      <c r="BD3" s="919"/>
      <c r="BE3" s="919"/>
      <c r="BF3" s="919"/>
      <c r="BG3" s="919"/>
      <c r="BH3" s="919"/>
      <c r="BI3" s="919"/>
      <c r="BJ3" s="919"/>
      <c r="BK3" s="919"/>
      <c r="BL3" s="919"/>
      <c r="BM3" s="919"/>
      <c r="BN3" s="919"/>
      <c r="BO3" s="919"/>
      <c r="BP3" s="919"/>
      <c r="BQ3" s="919"/>
      <c r="BR3" s="919"/>
      <c r="BS3" s="919"/>
      <c r="BT3" s="919"/>
      <c r="BU3" s="919"/>
      <c r="BV3" s="919"/>
      <c r="BW3" s="919"/>
      <c r="BX3" s="919"/>
      <c r="BY3" s="919"/>
      <c r="BZ3" s="919"/>
      <c r="CA3" s="919"/>
      <c r="CB3" s="919"/>
      <c r="CC3" s="919"/>
      <c r="CD3" s="919"/>
      <c r="CE3" s="919"/>
      <c r="CF3" s="919"/>
      <c r="CG3" s="919"/>
      <c r="CH3" s="919"/>
      <c r="CI3" s="919"/>
      <c r="CJ3" s="919"/>
      <c r="CK3" s="919"/>
      <c r="CL3" s="919"/>
      <c r="CM3" s="919"/>
      <c r="CN3" s="919"/>
      <c r="CO3" s="919"/>
      <c r="CP3" s="919"/>
      <c r="CQ3" s="919"/>
      <c r="CR3" s="919"/>
      <c r="CS3" s="919"/>
      <c r="CT3" s="919"/>
      <c r="CU3" s="919"/>
      <c r="CV3" s="919"/>
      <c r="CW3" s="919"/>
      <c r="CX3" s="919"/>
      <c r="CY3" s="919"/>
      <c r="CZ3" s="919"/>
      <c r="DA3" s="919"/>
      <c r="DB3" s="919"/>
      <c r="DC3" s="919"/>
      <c r="DD3" s="919"/>
      <c r="DE3" s="919"/>
      <c r="DF3" s="919"/>
      <c r="DG3" s="919"/>
      <c r="DH3" s="919"/>
      <c r="DI3" s="919"/>
      <c r="DJ3" s="919"/>
      <c r="DK3" s="919"/>
      <c r="DL3" s="919"/>
      <c r="DM3" s="919"/>
      <c r="DN3" s="919"/>
      <c r="DO3" s="919"/>
      <c r="DP3" s="919"/>
      <c r="DQ3" s="919"/>
      <c r="DR3" s="919"/>
      <c r="DS3" s="919"/>
      <c r="DT3" s="919"/>
      <c r="DU3" s="919"/>
      <c r="DV3" s="919"/>
      <c r="DW3" s="919"/>
      <c r="DX3" s="919"/>
      <c r="DY3" s="919"/>
      <c r="DZ3" s="919"/>
      <c r="EA3" s="919"/>
      <c r="EB3" s="919"/>
      <c r="EC3" s="919"/>
      <c r="ED3" s="919"/>
      <c r="EE3" s="919"/>
      <c r="EF3" s="919"/>
      <c r="EG3" s="919"/>
      <c r="EH3" s="919"/>
      <c r="EI3" s="919"/>
      <c r="EJ3" s="919"/>
      <c r="EK3" s="919"/>
      <c r="EL3" s="919"/>
      <c r="EM3" s="919"/>
      <c r="EN3" s="919"/>
      <c r="EO3" s="919"/>
      <c r="EP3" s="919"/>
      <c r="EQ3" s="919"/>
      <c r="ER3" s="919"/>
      <c r="ES3" s="919"/>
      <c r="ET3" s="919"/>
      <c r="EU3" s="919"/>
      <c r="EV3" s="919"/>
      <c r="EW3" s="919"/>
      <c r="EX3" s="919"/>
      <c r="EY3" s="919"/>
      <c r="EZ3" s="919"/>
      <c r="FA3" s="919"/>
      <c r="FB3" s="919"/>
      <c r="FC3" s="919"/>
      <c r="FD3" s="919"/>
      <c r="FE3" s="919"/>
      <c r="FF3" s="919"/>
      <c r="FG3" s="919"/>
      <c r="FH3" s="919"/>
      <c r="FI3" s="919"/>
      <c r="FJ3" s="919"/>
      <c r="FK3" s="919"/>
      <c r="FL3" s="919"/>
      <c r="FM3" s="919"/>
      <c r="FN3" s="919"/>
      <c r="FO3" s="919"/>
      <c r="FP3" s="919"/>
      <c r="FQ3" s="919"/>
      <c r="FR3" s="919"/>
      <c r="FS3" s="919"/>
      <c r="FT3" s="919"/>
      <c r="FU3" s="919"/>
      <c r="FV3" s="919"/>
      <c r="FW3" s="919"/>
      <c r="FX3" s="919"/>
      <c r="FY3" s="919"/>
      <c r="FZ3" s="919"/>
      <c r="GA3" s="919"/>
      <c r="GB3" s="919"/>
      <c r="GC3" s="919"/>
      <c r="GD3" s="919"/>
      <c r="GE3" s="919"/>
      <c r="GF3" s="919"/>
      <c r="GG3" s="919"/>
      <c r="GH3" s="919"/>
      <c r="GI3" s="919"/>
      <c r="GJ3" s="919"/>
      <c r="GK3" s="919"/>
      <c r="GL3" s="919"/>
      <c r="GM3" s="919"/>
      <c r="GN3" s="919"/>
      <c r="GO3" s="919"/>
      <c r="GP3" s="919"/>
      <c r="GQ3" s="919"/>
      <c r="GR3" s="919"/>
      <c r="GS3" s="919"/>
      <c r="GT3" s="919"/>
      <c r="GU3" s="919"/>
      <c r="GV3" s="919"/>
      <c r="GW3" s="919"/>
      <c r="GX3" s="919"/>
      <c r="GY3" s="919"/>
      <c r="GZ3" s="919"/>
      <c r="HA3" s="919"/>
      <c r="HB3" s="919"/>
      <c r="HC3" s="919"/>
      <c r="HD3" s="919"/>
      <c r="HE3" s="919"/>
      <c r="HF3" s="919"/>
      <c r="HG3" s="919"/>
      <c r="HH3" s="919"/>
      <c r="HI3" s="919"/>
      <c r="HJ3" s="919"/>
      <c r="HK3" s="919"/>
      <c r="HL3" s="919"/>
      <c r="HM3" s="919"/>
      <c r="HN3" s="919"/>
      <c r="HO3" s="919"/>
      <c r="HP3" s="919"/>
      <c r="HQ3" s="919"/>
      <c r="HR3" s="919"/>
      <c r="HS3" s="919"/>
      <c r="HT3" s="919"/>
      <c r="HU3" s="919"/>
      <c r="HV3" s="919"/>
      <c r="HW3" s="919"/>
      <c r="HX3" s="919"/>
      <c r="HY3" s="919"/>
      <c r="HZ3" s="919"/>
      <c r="IA3" s="919"/>
      <c r="IB3" s="919"/>
      <c r="IC3" s="919"/>
      <c r="ID3" s="919"/>
      <c r="IE3" s="919"/>
      <c r="IF3" s="919"/>
      <c r="IG3" s="919"/>
      <c r="IH3" s="919"/>
      <c r="II3" s="919"/>
      <c r="IJ3" s="919"/>
      <c r="IK3" s="919"/>
      <c r="IL3" s="919"/>
      <c r="IM3" s="919"/>
      <c r="IN3" s="919"/>
      <c r="IO3" s="919"/>
      <c r="IP3" s="919"/>
      <c r="IQ3" s="919"/>
      <c r="IR3" s="919"/>
      <c r="IS3" s="919"/>
      <c r="IT3" s="919"/>
      <c r="IU3" s="919"/>
      <c r="IV3" s="919"/>
      <c r="IW3" s="2328">
        <v>0</v>
      </c>
    </row>
    <row s="58273" customFormat="1" customHeight="1" ht="14.699999999999998">
      <c r="A4" s="2323"/>
      <c r="B4" s="2058"/>
      <c r="C4" s="2323"/>
      <c r="D4" s="2207"/>
      <c r="E4" s="2327"/>
      <c r="F4" s="2327"/>
      <c r="G4" s="2327"/>
      <c r="H4" s="2327"/>
      <c r="I4" s="2327"/>
      <c r="J4" s="2327"/>
      <c r="K4" s="2327"/>
      <c r="L4" s="2587"/>
      <c r="M4" s="940"/>
      <c r="N4" s="2316"/>
      <c r="O4" s="2316"/>
      <c r="P4" s="2316"/>
      <c r="Q4" s="2316"/>
      <c r="R4" s="2316"/>
      <c r="S4" s="917"/>
      <c r="T4" s="917"/>
      <c r="U4" s="917"/>
      <c r="V4" s="917"/>
      <c r="IW4" s="2301">
        <v>14</v>
      </c>
    </row>
    <row s="58273" customFormat="1" customHeight="1" ht="27.299999999999997">
      <c r="A5" s="2323"/>
      <c r="B5" s="2058"/>
      <c r="C5" s="2323"/>
      <c r="D5" s="2207"/>
      <c r="E5" s="279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92"/>
      <c r="G5" s="2792"/>
      <c r="H5" s="2792"/>
      <c r="I5" s="2792"/>
      <c r="J5" s="2792"/>
      <c r="K5" s="2792"/>
      <c r="L5" s="2327"/>
      <c r="M5" s="940"/>
      <c r="N5" s="2316"/>
      <c r="O5" s="2316"/>
      <c r="P5" s="2316"/>
      <c r="Q5" s="2316"/>
      <c r="R5" s="2316"/>
      <c r="S5" s="917"/>
      <c r="T5" s="917"/>
      <c r="U5" s="917"/>
      <c r="V5" s="917"/>
      <c r="IW5" s="2301">
        <v>26</v>
      </c>
    </row>
    <row s="58273" customFormat="1" customHeight="1" ht="14.699999999999998">
      <c r="A6" s="2323"/>
      <c r="B6" s="2058"/>
      <c r="C6" s="2323"/>
      <c r="D6" s="2207"/>
      <c r="E6" s="2327"/>
      <c r="F6" s="1308"/>
      <c r="G6" s="1308"/>
      <c r="H6" s="1308"/>
      <c r="I6" s="1308"/>
      <c r="J6" s="1308"/>
      <c r="K6" s="1308"/>
      <c r="L6" s="1944"/>
      <c r="M6" s="2316"/>
      <c r="N6" s="2316"/>
      <c r="O6" s="2316"/>
      <c r="P6" s="2316"/>
      <c r="Q6" s="2316"/>
      <c r="R6" s="2316"/>
      <c r="S6" s="917"/>
      <c r="T6" s="917"/>
      <c r="U6" s="917"/>
      <c r="V6" s="917"/>
      <c r="IW6" s="2301">
        <v>14</v>
      </c>
    </row>
    <row s="58273" customFormat="1" customHeight="1" ht="14.699999999999998">
      <c r="A7" s="2323"/>
      <c r="B7" s="2058"/>
      <c r="C7" s="2323"/>
      <c r="D7" s="2207"/>
      <c r="E7" s="2793" t="s">
        <v>375</v>
      </c>
      <c r="F7" s="2794"/>
      <c r="G7" s="2794"/>
      <c r="H7" s="2794"/>
      <c r="I7" s="2794"/>
      <c r="J7" s="2794"/>
      <c r="K7" s="2794"/>
      <c r="L7" s="3166" t="s">
        <v>376</v>
      </c>
      <c r="M7" s="2316"/>
      <c r="N7" s="2316"/>
      <c r="O7" s="2316"/>
      <c r="P7" s="2316"/>
      <c r="Q7" s="2316"/>
      <c r="R7" s="2316"/>
      <c r="S7" s="917"/>
      <c r="T7" s="917"/>
      <c r="U7" s="917"/>
      <c r="V7" s="917"/>
      <c r="IW7" s="2301">
        <v>14</v>
      </c>
    </row>
    <row s="58273" customFormat="1" customHeight="1" ht="67.2">
      <c r="A8" s="2323"/>
      <c r="B8" s="2058"/>
      <c r="C8" s="2323"/>
      <c r="D8" s="2207"/>
      <c r="E8" s="3170" t="s">
        <v>89</v>
      </c>
      <c r="F8" s="3170" t="s">
        <v>1952</v>
      </c>
      <c r="G8" s="3172" t="s">
        <v>1953</v>
      </c>
      <c r="H8" s="3173"/>
      <c r="I8" s="3174"/>
      <c r="J8" s="3170" t="s">
        <v>1954</v>
      </c>
      <c r="K8" s="317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68"/>
      <c r="M8" s="2316"/>
      <c r="N8" s="2316"/>
      <c r="O8" s="2316"/>
      <c r="P8" s="2316"/>
      <c r="Q8" s="2316"/>
      <c r="R8" s="2316"/>
      <c r="S8" s="917"/>
      <c r="T8" s="917"/>
      <c r="U8" s="917"/>
      <c r="V8" s="917"/>
      <c r="IW8" s="2301">
        <v>64</v>
      </c>
    </row>
    <row s="58273" customFormat="1" customHeight="1" ht="29.25">
      <c r="A9" s="2323"/>
      <c r="B9" s="2058"/>
      <c r="C9" s="2323"/>
      <c r="D9" s="2207"/>
      <c r="E9" s="3171"/>
      <c r="F9" s="3171"/>
      <c r="G9" s="2586" t="s">
        <v>1948</v>
      </c>
      <c r="H9" s="2586" t="s">
        <v>1949</v>
      </c>
      <c r="I9" s="2586" t="s">
        <v>1950</v>
      </c>
      <c r="J9" s="3171"/>
      <c r="K9" s="3171"/>
      <c r="L9" s="3167"/>
      <c r="M9" s="2316"/>
      <c r="N9" s="2316"/>
      <c r="O9" s="2316"/>
      <c r="P9" s="2316"/>
      <c r="Q9" s="2316"/>
      <c r="R9" s="2316"/>
      <c r="S9" s="917"/>
      <c r="T9" s="917"/>
      <c r="U9" s="917"/>
      <c r="V9" s="917"/>
      <c r="IW9" s="2301">
        <v>28</v>
      </c>
    </row>
    <row s="63225" customFormat="1" customHeight="1" ht="1.05">
      <c r="A10" s="2791"/>
      <c r="B10" s="2058">
        <v>1</v>
      </c>
      <c r="C10" s="2058"/>
      <c r="D10" s="1492"/>
      <c r="E10" s="1487">
        <v>0</v>
      </c>
      <c r="F10" s="2583" t="str">
        <f>IF(ROIV_INFO_NAME="","",ROIV_INFO_NAME)</f>
        <v>АО "ДГК"</v>
      </c>
      <c r="G10" s="2425" t="s">
        <v>28</v>
      </c>
      <c r="H10" s="2595"/>
      <c r="I10" s="2595"/>
      <c r="J10" s="1211"/>
      <c r="K10" s="1211"/>
      <c r="L10" s="312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227">
        <f>MERGEVALUE(F10)</f>
      </c>
      <c r="N10" s="2328"/>
      <c r="O10" s="2328"/>
      <c r="P10" s="2316" t="str">
        <f t="array" ref="P10:P10">IF(ISERROR(MATCH(MID(Q10,1,250),MID(note_ter,1,250),0)),"n","y")</f>
        <v>n</v>
      </c>
      <c r="Q10" s="2328"/>
      <c r="R10" s="231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058"/>
      <c r="T10" s="2058"/>
      <c r="U10" s="1112"/>
      <c r="V10" s="2058"/>
      <c r="W10" s="2058"/>
      <c r="X10" s="2058"/>
      <c r="Y10" s="1525"/>
      <c r="Z10" s="1525"/>
      <c r="AA10" s="1319"/>
      <c r="AB10" s="1319"/>
      <c r="AC10" s="1319"/>
      <c r="AD10" s="1319"/>
      <c r="AE10" s="1319"/>
      <c r="AF10" s="1319"/>
      <c r="AG10" s="1319"/>
      <c r="AH10" s="1319"/>
      <c r="AI10" s="1319"/>
      <c r="AJ10" s="1319"/>
      <c r="AK10" s="1319"/>
      <c r="AL10" s="1319"/>
      <c r="AM10" s="1319"/>
      <c r="AN10" s="1319"/>
      <c r="AO10" s="1319"/>
      <c r="AP10" s="1319"/>
      <c r="AQ10" s="1319"/>
      <c r="AR10" s="1319"/>
      <c r="AS10" s="1319"/>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c r="BP10" s="1319"/>
      <c r="BQ10" s="1319"/>
      <c r="BR10" s="1319"/>
      <c r="BS10" s="1319"/>
      <c r="BT10" s="1319"/>
      <c r="BU10" s="1319"/>
      <c r="BV10" s="1525"/>
      <c r="BW10" s="1525"/>
      <c r="BX10" s="1525"/>
      <c r="BY10" s="1525"/>
      <c r="BZ10" s="1525"/>
      <c r="CA10" s="1525"/>
      <c r="CB10" s="1525"/>
      <c r="CC10" s="1525"/>
      <c r="CD10" s="1525"/>
      <c r="CE10" s="1525"/>
      <c r="IW10" s="1316">
        <v>1</v>
      </c>
    </row>
    <row s="63225" customFormat="1" customHeight="1" ht="15.75">
      <c r="A11" s="2791"/>
      <c r="B11" s="2058"/>
      <c r="C11" s="1104"/>
      <c r="D11" s="1493"/>
      <c r="E11" s="1113"/>
      <c r="F11" s="1343" t="s">
        <v>1951</v>
      </c>
      <c r="G11" s="879"/>
      <c r="H11" s="879"/>
      <c r="I11" s="879"/>
      <c r="J11" s="879"/>
      <c r="K11" s="1116"/>
      <c r="L11" s="3169"/>
      <c r="M11" s="2228"/>
      <c r="N11" s="2328"/>
      <c r="O11" s="2328"/>
      <c r="P11" s="2328"/>
      <c r="Q11" s="2316"/>
      <c r="R11" s="2328"/>
      <c r="S11" s="2058"/>
      <c r="T11" s="2058"/>
      <c r="U11" s="1112"/>
      <c r="V11" s="2058"/>
      <c r="W11" s="2058"/>
      <c r="X11" s="2058"/>
      <c r="Y11" s="1525"/>
      <c r="Z11" s="1525"/>
      <c r="AA11" s="1319"/>
      <c r="AB11" s="1319"/>
      <c r="AC11" s="1319"/>
      <c r="AD11" s="1319"/>
      <c r="AE11" s="1319"/>
      <c r="AF11" s="1319"/>
      <c r="AG11" s="1319"/>
      <c r="AH11" s="1319"/>
      <c r="AI11" s="1319"/>
      <c r="AJ11" s="1319"/>
      <c r="AK11" s="1319"/>
      <c r="AL11" s="1319"/>
      <c r="AM11" s="1319"/>
      <c r="AN11" s="1319"/>
      <c r="AO11" s="1319"/>
      <c r="AP11" s="1319"/>
      <c r="AQ11" s="1319"/>
      <c r="AR11" s="1319"/>
      <c r="AS11" s="1319"/>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c r="BP11" s="1319"/>
      <c r="BQ11" s="1319"/>
      <c r="BR11" s="1319"/>
      <c r="BS11" s="1319"/>
      <c r="BT11" s="1319"/>
      <c r="BU11" s="1319"/>
      <c r="BV11" s="1525"/>
      <c r="BW11" s="1525"/>
      <c r="BX11" s="1525"/>
      <c r="BY11" s="1525"/>
      <c r="BZ11" s="1525"/>
      <c r="CA11" s="1525"/>
      <c r="CB11" s="1525"/>
      <c r="CC11" s="1525"/>
      <c r="CD11" s="1525"/>
      <c r="CE11" s="1525"/>
      <c r="IW11" s="1316">
        <v>15</v>
      </c>
    </row>
    <row s="58273" customFormat="1" customHeight="1" ht="22.049999999999997">
      <c r="A12" s="2323"/>
      <c r="B12" s="2058"/>
      <c r="C12" s="2323"/>
      <c r="D12" s="2325"/>
      <c r="E12" s="872"/>
      <c r="F12" s="872"/>
      <c r="G12" s="872"/>
      <c r="H12" s="872"/>
      <c r="I12" s="872"/>
      <c r="J12" s="872"/>
      <c r="K12" s="872"/>
      <c r="L12" s="872"/>
      <c r="M12" s="2316"/>
      <c r="N12" s="2316"/>
      <c r="O12" s="2316"/>
      <c r="P12" s="2316"/>
      <c r="Q12" s="2316"/>
      <c r="R12" s="2316"/>
      <c r="S12" s="917"/>
      <c r="T12" s="917"/>
      <c r="U12" s="917"/>
      <c r="V12" s="917"/>
      <c r="IW12" s="2301">
        <v>21</v>
      </c>
    </row>
    <row s="58273" customFormat="1" customHeight="1" ht="14.699999999999998">
      <c r="A13" s="2323"/>
      <c r="B13" s="2058"/>
      <c r="C13" s="2323"/>
      <c r="D13" s="2325"/>
      <c r="E13" s="2323"/>
      <c r="F13" s="2323"/>
      <c r="G13" s="2323"/>
      <c r="H13" s="2323"/>
      <c r="I13" s="2323"/>
      <c r="J13" s="2323"/>
      <c r="K13" s="2323"/>
      <c r="L13" s="2323"/>
      <c r="M13" s="2316"/>
      <c r="N13" s="2316"/>
      <c r="O13" s="2316"/>
      <c r="P13" s="2316"/>
      <c r="Q13" s="2316"/>
      <c r="R13" s="2316"/>
      <c r="S13" s="917"/>
      <c r="T13" s="917"/>
      <c r="U13" s="917"/>
      <c r="V13" s="917"/>
      <c r="IW13" s="2301">
        <v>14</v>
      </c>
    </row>
    <row s="58273" customFormat="1" customHeight="1" ht="1.05">
      <c r="A14" s="2323"/>
      <c r="B14" s="2058"/>
      <c r="C14" s="2323"/>
      <c r="D14" s="2325"/>
      <c r="E14" s="2323"/>
      <c r="F14" s="2323"/>
      <c r="G14" s="2323"/>
      <c r="H14" s="2323"/>
      <c r="I14" s="2323"/>
      <c r="J14" s="2323"/>
      <c r="K14" s="2323"/>
      <c r="L14" s="2323"/>
      <c r="M14" s="2316"/>
      <c r="N14" s="2316"/>
      <c r="O14" s="2316"/>
      <c r="P14" s="2316"/>
      <c r="Q14" s="2316"/>
      <c r="R14" s="2316"/>
      <c r="S14" s="917"/>
      <c r="T14" s="917"/>
      <c r="U14" s="917"/>
      <c r="V14" s="917"/>
      <c r="IW14" s="2301">
        <v>1</v>
      </c>
    </row>
    <row customHeight="1" ht="22.5" hidden="1">
      <c r="A15" s="2323" t="s">
        <v>83</v>
      </c>
      <c r="B15" s="2058">
        <v>0</v>
      </c>
      <c r="C15" s="2323">
        <v>0</v>
      </c>
      <c r="D15" s="2325">
        <v>3</v>
      </c>
      <c r="E15" s="2323">
        <v>6</v>
      </c>
      <c r="F15" s="2323">
        <v>27</v>
      </c>
      <c r="G15" s="2323">
        <v>16</v>
      </c>
      <c r="H15" s="2323">
        <v>12</v>
      </c>
      <c r="I15" s="2323">
        <v>32</v>
      </c>
      <c r="J15" s="2323">
        <v>41</v>
      </c>
      <c r="K15" s="2323">
        <v>41</v>
      </c>
      <c r="L15" s="2323">
        <v>89</v>
      </c>
      <c r="M15" s="2316">
        <v>3</v>
      </c>
      <c r="N15" s="2316">
        <v>8</v>
      </c>
      <c r="O15" s="2316">
        <v>8</v>
      </c>
      <c r="P15" s="2316">
        <v>8</v>
      </c>
      <c r="Q15" s="2316">
        <v>25</v>
      </c>
      <c r="R15" s="2316">
        <v>14</v>
      </c>
      <c r="S15" s="917">
        <v>8</v>
      </c>
      <c r="T15" s="917">
        <v>8</v>
      </c>
      <c r="U15" s="917">
        <v>8</v>
      </c>
      <c r="V15" s="917">
        <v>8</v>
      </c>
      <c r="W15" s="2323">
        <v>8</v>
      </c>
      <c r="X15" s="2323">
        <v>8</v>
      </c>
      <c r="Y15" s="2323">
        <v>8</v>
      </c>
      <c r="Z15" s="2323">
        <v>8</v>
      </c>
      <c r="AA15" s="2323">
        <v>8</v>
      </c>
      <c r="AB15" s="2323">
        <v>8</v>
      </c>
      <c r="AC15" s="2323">
        <v>8</v>
      </c>
      <c r="AD15" s="2323">
        <v>8</v>
      </c>
      <c r="AE15" s="2323">
        <v>8</v>
      </c>
      <c r="AF15" s="2323">
        <v>8</v>
      </c>
      <c r="AG15" s="2323">
        <v>8</v>
      </c>
      <c r="AH15" s="2323">
        <v>8</v>
      </c>
      <c r="AI15" s="2323">
        <v>8</v>
      </c>
      <c r="AJ15" s="2323">
        <v>8</v>
      </c>
      <c r="AK15" s="2323">
        <v>8</v>
      </c>
      <c r="AL15" s="2323">
        <v>8</v>
      </c>
      <c r="AM15" s="2323">
        <v>8</v>
      </c>
      <c r="AN15" s="2323">
        <v>8</v>
      </c>
      <c r="AO15" s="2323">
        <v>8</v>
      </c>
      <c r="AP15" s="2323">
        <v>8</v>
      </c>
      <c r="AQ15" s="2323">
        <v>8</v>
      </c>
      <c r="AR15" s="2323">
        <v>8</v>
      </c>
      <c r="AS15" s="2323">
        <v>8</v>
      </c>
      <c r="AT15" s="2323">
        <v>8</v>
      </c>
      <c r="AU15" s="2323">
        <v>8</v>
      </c>
      <c r="AV15" s="2323">
        <v>8</v>
      </c>
      <c r="AW15" s="2323">
        <v>8</v>
      </c>
      <c r="AX15" s="2323">
        <v>8</v>
      </c>
      <c r="AY15" s="2323">
        <v>8</v>
      </c>
      <c r="AZ15" s="2323">
        <v>8</v>
      </c>
      <c r="BA15" s="2323">
        <v>8</v>
      </c>
      <c r="BB15" s="2323">
        <v>8</v>
      </c>
      <c r="BC15" s="2323">
        <v>8</v>
      </c>
      <c r="BD15" s="2323">
        <v>8</v>
      </c>
      <c r="BE15" s="2323">
        <v>8</v>
      </c>
      <c r="BF15" s="2323">
        <v>8</v>
      </c>
      <c r="BG15" s="2323">
        <v>8</v>
      </c>
      <c r="BH15" s="2323">
        <v>8</v>
      </c>
      <c r="BI15" s="2323">
        <v>8</v>
      </c>
      <c r="BJ15" s="2323">
        <v>8</v>
      </c>
      <c r="BK15" s="2323">
        <v>8</v>
      </c>
      <c r="BL15" s="2323">
        <v>8</v>
      </c>
      <c r="BM15" s="2323">
        <v>8</v>
      </c>
      <c r="BN15" s="2323">
        <v>8</v>
      </c>
      <c r="BO15" s="2323">
        <v>8</v>
      </c>
      <c r="BP15" s="2323">
        <v>8</v>
      </c>
      <c r="BQ15" s="2323">
        <v>8</v>
      </c>
      <c r="BR15" s="2323">
        <v>8</v>
      </c>
      <c r="BS15" s="2323">
        <v>8</v>
      </c>
      <c r="BT15" s="2323">
        <v>8</v>
      </c>
      <c r="BU15" s="2323">
        <v>8</v>
      </c>
      <c r="BV15" s="2323">
        <v>8</v>
      </c>
      <c r="BW15" s="2323">
        <v>8</v>
      </c>
      <c r="BX15" s="2323">
        <v>8</v>
      </c>
      <c r="BY15" s="2323">
        <v>8</v>
      </c>
      <c r="BZ15" s="2323">
        <v>8</v>
      </c>
      <c r="CA15" s="2323">
        <v>8</v>
      </c>
      <c r="CB15" s="2323">
        <v>8</v>
      </c>
      <c r="CC15" s="2323">
        <v>8</v>
      </c>
      <c r="CD15" s="2323">
        <v>8</v>
      </c>
      <c r="CE15" s="2323">
        <v>8</v>
      </c>
      <c r="CF15" s="2323">
        <v>8</v>
      </c>
      <c r="CG15" s="2323">
        <v>8</v>
      </c>
      <c r="CH15" s="2323">
        <v>8</v>
      </c>
      <c r="CI15" s="2323">
        <v>8</v>
      </c>
      <c r="CJ15" s="2323">
        <v>8</v>
      </c>
      <c r="CK15" s="2323">
        <v>8</v>
      </c>
      <c r="CL15" s="2323">
        <v>8</v>
      </c>
      <c r="CM15" s="2323">
        <v>8</v>
      </c>
      <c r="CN15" s="2323">
        <v>8</v>
      </c>
      <c r="CO15" s="2323">
        <v>8</v>
      </c>
      <c r="CP15" s="2323">
        <v>8</v>
      </c>
      <c r="CQ15" s="2323">
        <v>8</v>
      </c>
      <c r="CR15" s="2323">
        <v>8</v>
      </c>
      <c r="CS15" s="2323">
        <v>8</v>
      </c>
      <c r="CT15" s="2323">
        <v>8</v>
      </c>
      <c r="CU15" s="2323">
        <v>8</v>
      </c>
      <c r="CV15" s="2323">
        <v>8</v>
      </c>
      <c r="CW15" s="2323">
        <v>8</v>
      </c>
      <c r="CX15" s="2323">
        <v>8</v>
      </c>
      <c r="CY15" s="2323">
        <v>8</v>
      </c>
      <c r="CZ15" s="2323">
        <v>8</v>
      </c>
      <c r="DA15" s="2323">
        <v>8</v>
      </c>
      <c r="DB15" s="2323">
        <v>8</v>
      </c>
      <c r="DC15" s="2323">
        <v>8</v>
      </c>
      <c r="DD15" s="2323">
        <v>8</v>
      </c>
      <c r="DE15" s="2323">
        <v>8</v>
      </c>
      <c r="DF15" s="2323">
        <v>8</v>
      </c>
      <c r="DG15" s="2323">
        <v>8</v>
      </c>
      <c r="DH15" s="2323">
        <v>8</v>
      </c>
      <c r="DI15" s="2323">
        <v>8</v>
      </c>
      <c r="DJ15" s="2323">
        <v>8</v>
      </c>
      <c r="DK15" s="2323">
        <v>8</v>
      </c>
      <c r="DL15" s="2323">
        <v>8</v>
      </c>
      <c r="DM15" s="2323">
        <v>8</v>
      </c>
      <c r="DN15" s="2323">
        <v>8</v>
      </c>
      <c r="DO15" s="2323">
        <v>8</v>
      </c>
      <c r="DP15" s="2323">
        <v>8</v>
      </c>
      <c r="DQ15" s="2323">
        <v>8</v>
      </c>
      <c r="DR15" s="2323">
        <v>8</v>
      </c>
      <c r="DS15" s="2323">
        <v>8</v>
      </c>
      <c r="DT15" s="2323">
        <v>8</v>
      </c>
      <c r="DU15" s="2323">
        <v>8</v>
      </c>
      <c r="DV15" s="2323">
        <v>8</v>
      </c>
      <c r="DW15" s="2323">
        <v>8</v>
      </c>
      <c r="DX15" s="2323">
        <v>8</v>
      </c>
      <c r="DY15" s="2323">
        <v>8</v>
      </c>
      <c r="DZ15" s="2323">
        <v>8</v>
      </c>
      <c r="EA15" s="2323">
        <v>8</v>
      </c>
      <c r="EB15" s="2323">
        <v>8</v>
      </c>
      <c r="EC15" s="2323">
        <v>8</v>
      </c>
      <c r="ED15" s="2323">
        <v>8</v>
      </c>
      <c r="EE15" s="2323">
        <v>8</v>
      </c>
      <c r="EF15" s="2323">
        <v>8</v>
      </c>
      <c r="EG15" s="2323">
        <v>8</v>
      </c>
      <c r="EH15" s="2323">
        <v>8</v>
      </c>
      <c r="EI15" s="2323">
        <v>8</v>
      </c>
      <c r="EJ15" s="2323">
        <v>8</v>
      </c>
      <c r="EK15" s="2323">
        <v>8</v>
      </c>
      <c r="EL15" s="2323">
        <v>8</v>
      </c>
      <c r="EM15" s="2323">
        <v>8</v>
      </c>
      <c r="EN15" s="2323">
        <v>8</v>
      </c>
      <c r="EO15" s="2323">
        <v>8</v>
      </c>
      <c r="EP15" s="2323">
        <v>8</v>
      </c>
      <c r="EQ15" s="2323">
        <v>8</v>
      </c>
      <c r="ER15" s="2323">
        <v>8</v>
      </c>
      <c r="ES15" s="2323">
        <v>8</v>
      </c>
      <c r="ET15" s="2323">
        <v>8</v>
      </c>
      <c r="EU15" s="2323">
        <v>8</v>
      </c>
      <c r="EV15" s="2323">
        <v>8</v>
      </c>
      <c r="EW15" s="2323">
        <v>8</v>
      </c>
      <c r="EX15" s="2323">
        <v>8</v>
      </c>
      <c r="EY15" s="2323">
        <v>8</v>
      </c>
      <c r="EZ15" s="2323">
        <v>8</v>
      </c>
      <c r="FA15" s="2323">
        <v>8</v>
      </c>
      <c r="FB15" s="2323">
        <v>8</v>
      </c>
      <c r="FC15" s="2323">
        <v>8</v>
      </c>
      <c r="FD15" s="2323">
        <v>8</v>
      </c>
      <c r="FE15" s="2323">
        <v>8</v>
      </c>
      <c r="FF15" s="2323">
        <v>8</v>
      </c>
      <c r="FG15" s="2323">
        <v>8</v>
      </c>
      <c r="FH15" s="2323">
        <v>8</v>
      </c>
      <c r="FI15" s="2323">
        <v>8</v>
      </c>
      <c r="FJ15" s="2323">
        <v>8</v>
      </c>
      <c r="FK15" s="2323">
        <v>8</v>
      </c>
      <c r="FL15" s="2323">
        <v>8</v>
      </c>
      <c r="FM15" s="2323">
        <v>8</v>
      </c>
      <c r="FN15" s="2323">
        <v>8</v>
      </c>
      <c r="FO15" s="2323">
        <v>8</v>
      </c>
      <c r="FP15" s="2323">
        <v>8</v>
      </c>
      <c r="FQ15" s="2323">
        <v>8</v>
      </c>
      <c r="FR15" s="2323">
        <v>8</v>
      </c>
      <c r="FS15" s="2323">
        <v>8</v>
      </c>
      <c r="FT15" s="2323">
        <v>8</v>
      </c>
      <c r="FU15" s="2323">
        <v>8</v>
      </c>
      <c r="FV15" s="2323">
        <v>8</v>
      </c>
      <c r="FW15" s="2323">
        <v>8</v>
      </c>
      <c r="FX15" s="2323">
        <v>8</v>
      </c>
      <c r="FY15" s="2323">
        <v>8</v>
      </c>
      <c r="FZ15" s="2323">
        <v>8</v>
      </c>
      <c r="GA15" s="2323">
        <v>8</v>
      </c>
      <c r="GB15" s="2323">
        <v>8</v>
      </c>
      <c r="GC15" s="2323">
        <v>8</v>
      </c>
      <c r="GD15" s="2323">
        <v>8</v>
      </c>
      <c r="GE15" s="2323">
        <v>8</v>
      </c>
      <c r="GF15" s="2323">
        <v>8</v>
      </c>
      <c r="GG15" s="2323">
        <v>8</v>
      </c>
      <c r="GH15" s="2323">
        <v>8</v>
      </c>
      <c r="GI15" s="2323">
        <v>8</v>
      </c>
      <c r="GJ15" s="2323">
        <v>8</v>
      </c>
      <c r="GK15" s="2323">
        <v>8</v>
      </c>
      <c r="GL15" s="2323">
        <v>8</v>
      </c>
      <c r="GM15" s="2323">
        <v>8</v>
      </c>
      <c r="GN15" s="2323">
        <v>8</v>
      </c>
      <c r="GO15" s="2323">
        <v>8</v>
      </c>
      <c r="GP15" s="2323">
        <v>8</v>
      </c>
      <c r="GQ15" s="2323">
        <v>8</v>
      </c>
      <c r="GR15" s="2323">
        <v>8</v>
      </c>
      <c r="GS15" s="2323">
        <v>8</v>
      </c>
      <c r="GT15" s="2323">
        <v>8</v>
      </c>
      <c r="GU15" s="2323">
        <v>8</v>
      </c>
      <c r="GV15" s="2323">
        <v>8</v>
      </c>
      <c r="GW15" s="2323">
        <v>8</v>
      </c>
      <c r="GX15" s="2323">
        <v>8</v>
      </c>
      <c r="GY15" s="2323">
        <v>8</v>
      </c>
      <c r="GZ15" s="2323">
        <v>8</v>
      </c>
      <c r="HA15" s="2323">
        <v>8</v>
      </c>
      <c r="HB15" s="2323">
        <v>8</v>
      </c>
      <c r="HC15" s="2323">
        <v>8</v>
      </c>
      <c r="HD15" s="2323">
        <v>8</v>
      </c>
      <c r="HE15" s="2323">
        <v>8</v>
      </c>
      <c r="HF15" s="2323">
        <v>8</v>
      </c>
      <c r="HG15" s="2323">
        <v>8</v>
      </c>
      <c r="HH15" s="2323">
        <v>8</v>
      </c>
      <c r="HI15" s="2323">
        <v>8</v>
      </c>
      <c r="HJ15" s="2323">
        <v>8</v>
      </c>
      <c r="HK15" s="2323">
        <v>8</v>
      </c>
      <c r="HL15" s="2323">
        <v>8</v>
      </c>
      <c r="HM15" s="2323">
        <v>8</v>
      </c>
      <c r="HN15" s="2323">
        <v>8</v>
      </c>
      <c r="HO15" s="2323">
        <v>8</v>
      </c>
      <c r="HP15" s="2323">
        <v>8</v>
      </c>
      <c r="HQ15" s="2323">
        <v>8</v>
      </c>
      <c r="HR15" s="2323">
        <v>8</v>
      </c>
      <c r="HS15" s="2323">
        <v>8</v>
      </c>
      <c r="HT15" s="2323">
        <v>8</v>
      </c>
      <c r="HU15" s="2323">
        <v>8</v>
      </c>
      <c r="HV15" s="2323">
        <v>8</v>
      </c>
      <c r="HW15" s="2323">
        <v>8</v>
      </c>
      <c r="HX15" s="2323">
        <v>8</v>
      </c>
      <c r="HY15" s="2323">
        <v>8</v>
      </c>
      <c r="HZ15" s="2323">
        <v>8</v>
      </c>
      <c r="IA15" s="2323">
        <v>8</v>
      </c>
      <c r="IB15" s="2323">
        <v>8</v>
      </c>
      <c r="IC15" s="2323">
        <v>8</v>
      </c>
      <c r="ID15" s="2323">
        <v>8</v>
      </c>
      <c r="IE15" s="2323">
        <v>8</v>
      </c>
      <c r="IF15" s="2323">
        <v>8</v>
      </c>
      <c r="IG15" s="2323">
        <v>8</v>
      </c>
      <c r="IH15" s="2323">
        <v>8</v>
      </c>
      <c r="II15" s="2323">
        <v>8</v>
      </c>
      <c r="IJ15" s="2323">
        <v>8</v>
      </c>
      <c r="IK15" s="2323">
        <v>8</v>
      </c>
      <c r="IL15" s="2323">
        <v>8</v>
      </c>
      <c r="IM15" s="2323">
        <v>8</v>
      </c>
      <c r="IN15" s="2323">
        <v>8</v>
      </c>
      <c r="IO15" s="2323">
        <v>8</v>
      </c>
      <c r="IP15" s="2323">
        <v>8</v>
      </c>
      <c r="IQ15" s="2323">
        <v>8</v>
      </c>
      <c r="IR15" s="2323">
        <v>8</v>
      </c>
      <c r="IS15" s="2323">
        <v>8</v>
      </c>
      <c r="IT15" s="2323">
        <v>8</v>
      </c>
      <c r="IU15" s="2323">
        <v>8</v>
      </c>
      <c r="IV15" s="2323">
        <v>8</v>
      </c>
      <c r="IW15" s="2323">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A0E363-178F-E46A-8F4A-124C51B4656F}"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62286" width="9.140625" hidden="1"/>
    <col min="2" max="2" style="62148" width="9.140625" hidden="1"/>
    <col min="3" max="3" style="62286" width="3.7109375" hidden="1" customWidth="1"/>
    <col min="4" max="4" style="62687" width="3.00390625" customWidth="1"/>
    <col min="5" max="5" style="62286" width="6.00390625" customWidth="1"/>
    <col min="6" max="6" style="62286" width="27.00390625" customWidth="1"/>
    <col min="7" max="7" style="62286" width="29.00390625" customWidth="1"/>
    <col min="8" max="8" style="62286" width="25.00390625" customWidth="1"/>
    <col min="9" max="9" style="62286" width="5.00390625" customWidth="1"/>
    <col min="10" max="10" style="62286" width="6.00390625" customWidth="1"/>
    <col min="11" max="11" style="62286" width="41.00390625" customWidth="1"/>
    <col min="12" max="12" style="62286" width="42.00390625" customWidth="1"/>
    <col min="13" max="13" style="62286" width="41.00390625" customWidth="1"/>
    <col min="14" max="14" style="62286" width="89.00390625" customWidth="1"/>
    <col min="15" max="15" style="62151" width="3.00390625" customWidth="1"/>
    <col min="16" max="16" style="62151" width="8.00390625" customWidth="1"/>
    <col min="17" max="17" style="62286" width="9.140625" hidden="1"/>
  </cols>
  <sheetData>
    <row customHeight="1" ht="22.5" hidden="1">
      <c r="Q1" s="1847" t="s">
        <v>14</v>
      </c>
    </row>
    <row s="63225" customFormat="1" customHeight="1" ht="22.5" hidden="1">
      <c r="A2" s="1188"/>
      <c r="B2" s="1852">
        <v>1</v>
      </c>
      <c r="C2" s="1852"/>
      <c r="D2" s="2620" t="s">
        <v>104</v>
      </c>
      <c r="E2" s="2819">
        <v>1</v>
      </c>
      <c r="F2" s="2995" t="str">
        <f>IF(region_name="","",region_name)</f>
        <v>Приморский край</v>
      </c>
      <c r="G2" s="3175"/>
      <c r="H2" s="3176"/>
      <c r="I2" s="1166"/>
      <c r="J2" s="2602">
        <v>1</v>
      </c>
      <c r="K2" s="2604"/>
      <c r="L2" s="2604"/>
      <c r="M2" s="2604"/>
      <c r="N2" s="1184"/>
      <c r="O2" s="2227"/>
      <c r="P2" s="1203"/>
      <c r="Q2" s="1115">
        <v>0</v>
      </c>
    </row>
    <row s="63225" customFormat="1" customHeight="1" ht="22.5" hidden="1">
      <c r="A3" s="1523"/>
      <c r="B3" s="1852"/>
      <c r="C3" s="1852"/>
      <c r="D3" s="1493"/>
      <c r="E3" s="2819"/>
      <c r="F3" s="2995"/>
      <c r="G3" s="3175"/>
      <c r="H3" s="3177"/>
      <c r="I3" s="1113"/>
      <c r="J3" s="2192"/>
      <c r="K3" s="2192" t="s">
        <v>1955</v>
      </c>
      <c r="L3" s="2235"/>
      <c r="M3" s="2612"/>
      <c r="N3" s="2605"/>
      <c r="O3" s="2227"/>
      <c r="P3" s="1203"/>
      <c r="Q3" s="1115">
        <v>0</v>
      </c>
    </row>
    <row s="61695" customFormat="1" customHeight="1" ht="5.25" hidden="1">
      <c r="A4" s="1188"/>
      <c r="D4" s="1186"/>
      <c r="F4" s="939" t="s">
        <v>84</v>
      </c>
      <c r="G4" s="1186" t="s">
        <v>85</v>
      </c>
      <c r="H4" s="1186"/>
      <c r="I4" s="2615"/>
      <c r="J4" s="2236"/>
      <c r="K4" s="2603"/>
      <c r="L4" s="2603"/>
      <c r="M4" s="2603"/>
      <c r="N4" s="2599"/>
      <c r="O4" s="939" t="s">
        <v>84</v>
      </c>
      <c r="P4" s="939"/>
      <c r="Q4" s="1203">
        <v>0</v>
      </c>
    </row>
    <row s="63225" customFormat="1" customHeight="1" ht="22.5" hidden="1">
      <c r="A5" s="2333"/>
      <c r="B5" s="2058">
        <v>1</v>
      </c>
      <c r="C5" s="2058"/>
      <c r="D5" s="1493"/>
      <c r="E5" s="2605"/>
      <c r="F5" s="2605"/>
      <c r="G5" s="2605"/>
      <c r="H5" s="2616"/>
      <c r="I5" s="2621" t="s">
        <v>104</v>
      </c>
      <c r="J5" s="2614">
        <v>1</v>
      </c>
      <c r="K5" s="2604"/>
      <c r="L5" s="2604"/>
      <c r="M5" s="2604"/>
      <c r="N5" s="1184"/>
      <c r="O5" s="2227"/>
      <c r="P5" s="2328"/>
      <c r="Q5" s="1316">
        <v>0</v>
      </c>
    </row>
    <row s="58273" customFormat="1" customHeight="1" ht="14.699999999999998">
      <c r="A6" s="1847"/>
      <c r="B6" s="1852"/>
      <c r="C6" s="1847"/>
      <c r="D6" s="2187"/>
      <c r="E6" s="1201"/>
      <c r="F6" s="1201"/>
      <c r="G6" s="1201"/>
      <c r="H6" s="1201"/>
      <c r="I6" s="1201"/>
      <c r="J6" s="1201"/>
      <c r="K6" s="1201"/>
      <c r="L6" s="1201"/>
      <c r="M6" s="1201"/>
      <c r="N6" s="2327"/>
      <c r="O6" s="939"/>
      <c r="P6" s="1192"/>
      <c r="Q6" s="1199">
        <v>14</v>
      </c>
    </row>
    <row s="58273" customFormat="1" customHeight="1" ht="27.299999999999997">
      <c r="A7" s="1847"/>
      <c r="B7" s="1852"/>
      <c r="C7" s="1847"/>
      <c r="D7" s="2187"/>
      <c r="E7" s="318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182"/>
      <c r="G7" s="3182"/>
      <c r="H7" s="3182"/>
      <c r="I7" s="3182"/>
      <c r="J7" s="3182"/>
      <c r="K7" s="3182"/>
      <c r="L7" s="3182"/>
      <c r="M7" s="3182"/>
      <c r="N7" s="1944"/>
      <c r="O7" s="939"/>
      <c r="P7" s="1192"/>
      <c r="Q7" s="1199">
        <v>26</v>
      </c>
    </row>
    <row s="58273" customFormat="1" customHeight="1" ht="14.699999999999998">
      <c r="A8" s="1847"/>
      <c r="B8" s="1852"/>
      <c r="C8" s="1847"/>
      <c r="D8" s="2187"/>
      <c r="E8" s="1201"/>
      <c r="F8" s="859"/>
      <c r="G8" s="859"/>
      <c r="H8" s="859"/>
      <c r="I8" s="859"/>
      <c r="J8" s="859"/>
      <c r="K8" s="859"/>
      <c r="L8" s="859"/>
      <c r="M8" s="859"/>
      <c r="N8" s="1308"/>
      <c r="O8" s="1192"/>
      <c r="P8" s="1192"/>
      <c r="Q8" s="1199">
        <v>14</v>
      </c>
    </row>
    <row s="62745" customFormat="1" customHeight="1" ht="14.25" hidden="1">
      <c r="A9" s="2160"/>
      <c r="B9" s="2170"/>
      <c r="C9" s="2160"/>
      <c r="D9" s="2187"/>
      <c r="E9" s="2606"/>
      <c r="F9" s="2606"/>
      <c r="G9" s="2606"/>
      <c r="H9" s="2606"/>
      <c r="I9" s="3185"/>
      <c r="J9" s="3185"/>
      <c r="K9" s="3185"/>
      <c r="L9" s="2606"/>
      <c r="M9" s="2607"/>
      <c r="O9" s="2237"/>
      <c r="P9" s="2237"/>
      <c r="Q9" s="2238">
        <v>0</v>
      </c>
    </row>
    <row s="58273" customFormat="1" customHeight="1" ht="14.699999999999998">
      <c r="A10" s="1847"/>
      <c r="B10" s="1852"/>
      <c r="C10" s="1847"/>
      <c r="D10" s="2187"/>
      <c r="E10" s="2819" t="s">
        <v>375</v>
      </c>
      <c r="F10" s="2819"/>
      <c r="G10" s="2819"/>
      <c r="H10" s="2819"/>
      <c r="I10" s="2819"/>
      <c r="J10" s="2819"/>
      <c r="K10" s="2819"/>
      <c r="L10" s="2819"/>
      <c r="M10" s="2793"/>
      <c r="N10" s="3170" t="s">
        <v>376</v>
      </c>
      <c r="O10" s="1192"/>
      <c r="P10" s="1192"/>
      <c r="Q10" s="1199">
        <v>14</v>
      </c>
    </row>
    <row s="58273" customFormat="1" customHeight="1" ht="44.25">
      <c r="A11" s="2323"/>
      <c r="B11" s="2058"/>
      <c r="C11" s="2323"/>
      <c r="D11" s="2207"/>
      <c r="E11" s="3184" t="s">
        <v>89</v>
      </c>
      <c r="F11" s="3184" t="s">
        <v>379</v>
      </c>
      <c r="G11" s="3184" t="s">
        <v>1956</v>
      </c>
      <c r="H11" s="3184"/>
      <c r="I11" s="3184" t="s">
        <v>1957</v>
      </c>
      <c r="J11" s="3184"/>
      <c r="K11" s="3184"/>
      <c r="L11" s="3184" t="s">
        <v>1958</v>
      </c>
      <c r="M11" s="3172" t="s">
        <v>1959</v>
      </c>
      <c r="N11" s="3183"/>
      <c r="O11" s="2316"/>
      <c r="P11" s="2316"/>
      <c r="Q11" s="2301">
        <v>42</v>
      </c>
    </row>
    <row s="58273" customFormat="1" customHeight="1" ht="29.25">
      <c r="A12" s="1847"/>
      <c r="B12" s="1852"/>
      <c r="C12" s="1847"/>
      <c r="D12" s="2187"/>
      <c r="E12" s="3170"/>
      <c r="F12" s="3184"/>
      <c r="G12" s="2601" t="s">
        <v>1960</v>
      </c>
      <c r="H12" s="2601" t="s">
        <v>383</v>
      </c>
      <c r="I12" s="3184"/>
      <c r="J12" s="3184"/>
      <c r="K12" s="3184"/>
      <c r="L12" s="3184"/>
      <c r="M12" s="3172"/>
      <c r="N12" s="3171"/>
      <c r="O12" s="1192"/>
      <c r="P12" s="1192"/>
      <c r="Q12" s="1199">
        <v>28</v>
      </c>
    </row>
    <row s="63225" customFormat="1" customHeight="1" ht="23.25">
      <c r="A13" s="2791">
        <v>26379339</v>
      </c>
      <c r="B13" s="1852">
        <v>1</v>
      </c>
      <c r="C13" s="1852"/>
      <c r="D13" s="1493"/>
      <c r="E13" s="2819">
        <v>1</v>
      </c>
      <c r="F13" s="3178" t="str">
        <f>IF(region_name="","",region_name)</f>
        <v>Приморский край</v>
      </c>
      <c r="G13" s="3179"/>
      <c r="H13" s="3186"/>
      <c r="I13" s="1166"/>
      <c r="J13" s="2597">
        <v>1</v>
      </c>
      <c r="K13" s="2610"/>
      <c r="L13" s="2611"/>
      <c r="M13" s="2611"/>
      <c r="N13" s="3180" t="s">
        <v>1961</v>
      </c>
      <c r="O13" s="2227"/>
      <c r="P13" s="1203"/>
      <c r="Q13" s="1115">
        <v>22</v>
      </c>
    </row>
    <row s="63225" customFormat="1" customHeight="1" ht="23.25">
      <c r="A14" s="2791"/>
      <c r="B14" s="1852"/>
      <c r="C14" s="1852"/>
      <c r="D14" s="1493"/>
      <c r="E14" s="2819"/>
      <c r="F14" s="3178"/>
      <c r="G14" s="3179"/>
      <c r="H14" s="3187"/>
      <c r="I14" s="1113"/>
      <c r="J14" s="2192"/>
      <c r="K14" s="2192" t="s">
        <v>1955</v>
      </c>
      <c r="L14" s="2235"/>
      <c r="M14" s="2235"/>
      <c r="N14" s="3181"/>
      <c r="O14" s="2227"/>
      <c r="P14" s="1203"/>
      <c r="Q14" s="1115">
        <v>22</v>
      </c>
    </row>
    <row s="63225" customFormat="1" customHeight="1" ht="23.25">
      <c r="A15" s="2791"/>
      <c r="B15" s="1852"/>
      <c r="C15" s="1104"/>
      <c r="D15" s="1493"/>
      <c r="E15" s="1113"/>
      <c r="F15" s="2192" t="s">
        <v>1947</v>
      </c>
      <c r="G15" s="2234"/>
      <c r="H15" s="2234"/>
      <c r="I15" s="879"/>
      <c r="J15" s="879"/>
      <c r="K15" s="879"/>
      <c r="L15" s="879"/>
      <c r="M15" s="879"/>
      <c r="N15" s="3181"/>
      <c r="O15" s="2228"/>
      <c r="P15" s="1203"/>
      <c r="Q15" s="1115">
        <v>22</v>
      </c>
    </row>
    <row s="58273" customFormat="1" customHeight="1" ht="22.049999999999997">
      <c r="A16" s="1847"/>
      <c r="B16" s="1852"/>
      <c r="C16" s="1847"/>
      <c r="D16" s="1143"/>
      <c r="E16" s="872"/>
      <c r="F16" s="872"/>
      <c r="G16" s="872"/>
      <c r="H16" s="872"/>
      <c r="I16" s="872"/>
      <c r="J16" s="872"/>
      <c r="K16" s="872"/>
      <c r="L16" s="872"/>
      <c r="M16" s="1201"/>
      <c r="N16" s="2327"/>
      <c r="O16" s="1192"/>
      <c r="P16" s="1192"/>
      <c r="Q16" s="1199">
        <v>21</v>
      </c>
    </row>
    <row s="58273" customFormat="1" customHeight="1" ht="14.699999999999998">
      <c r="A17" s="1847"/>
      <c r="B17" s="1852"/>
      <c r="C17" s="1847"/>
      <c r="D17" s="1143"/>
      <c r="E17" s="1847"/>
      <c r="F17" s="1847"/>
      <c r="G17" s="1847"/>
      <c r="H17" s="1847"/>
      <c r="I17" s="1847"/>
      <c r="J17" s="1847"/>
      <c r="K17" s="1847"/>
      <c r="L17" s="1847"/>
      <c r="M17" s="1847"/>
      <c r="N17" s="2323"/>
      <c r="O17" s="1192"/>
      <c r="P17" s="1192"/>
      <c r="Q17" s="1199">
        <v>14</v>
      </c>
    </row>
    <row s="58273" customFormat="1" customHeight="1" ht="1.05">
      <c r="A18" s="1847"/>
      <c r="B18" s="1852"/>
      <c r="C18" s="1847"/>
      <c r="D18" s="1143"/>
      <c r="E18" s="1847"/>
      <c r="F18" s="1847"/>
      <c r="G18" s="1847"/>
      <c r="H18" s="1847"/>
      <c r="I18" s="1847"/>
      <c r="J18" s="1847"/>
      <c r="K18" s="1847"/>
      <c r="L18" s="1847"/>
      <c r="M18" s="1847"/>
      <c r="N18" s="2323"/>
      <c r="O18" s="1192"/>
      <c r="P18" s="1192"/>
      <c r="Q18" s="1199">
        <v>1</v>
      </c>
    </row>
    <row customHeight="1" ht="22.5" hidden="1">
      <c r="A19" s="1847" t="s">
        <v>83</v>
      </c>
      <c r="B19" s="1852">
        <v>0</v>
      </c>
      <c r="C19" s="1847">
        <v>0</v>
      </c>
      <c r="D19" s="1143">
        <v>3</v>
      </c>
      <c r="E19" s="1847">
        <v>6</v>
      </c>
      <c r="F19" s="1847">
        <v>27</v>
      </c>
      <c r="G19" s="1847">
        <v>29</v>
      </c>
      <c r="H19" s="1847">
        <v>25</v>
      </c>
      <c r="I19" s="1847">
        <v>5</v>
      </c>
      <c r="J19" s="1847">
        <v>6</v>
      </c>
      <c r="K19" s="1847">
        <v>41</v>
      </c>
      <c r="L19" s="1847">
        <v>42</v>
      </c>
      <c r="M19" s="1847">
        <v>41</v>
      </c>
      <c r="N19" s="2323">
        <v>89</v>
      </c>
      <c r="O19" s="1192">
        <v>3</v>
      </c>
      <c r="P19" s="1192">
        <v>8</v>
      </c>
      <c r="Q19" s="1847">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9B259D-BB68-A0FC-FA9E-E37BD664CA71}"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63174" width="9.140625" hidden="1"/>
    <col min="2" max="2" style="62977" width="9.140625" hidden="1"/>
    <col min="3" max="3" style="62779" width="3.00390625" customWidth="1"/>
    <col min="4" max="4" style="62977" width="6.00390625" customWidth="1"/>
    <col min="5" max="5" style="62977" width="22.00390625" customWidth="1"/>
    <col min="6" max="6" style="62977" width="15.00390625" customWidth="1"/>
    <col min="7" max="7" style="62977" width="14.00390625" customWidth="1"/>
    <col min="8" max="8" style="62977" width="47.00390625" customWidth="1"/>
    <col min="9" max="9" style="62977" width="115.00390625" customWidth="1"/>
    <col min="10" max="10" style="62977" width="3.00390625" customWidth="1"/>
    <col min="11" max="12" style="62977" width="8.00390625" customWidth="1"/>
    <col min="13" max="13" style="62977" width="9.140625" hidden="1"/>
  </cols>
  <sheetData>
    <row customHeight="1" ht="14.25" hidden="1">
      <c r="M1" s="813" t="s">
        <v>14</v>
      </c>
    </row>
    <row customHeight="1" ht="14.25" hidden="1">
      <c r="M2" s="813">
        <v>0</v>
      </c>
    </row>
    <row customHeight="1" ht="14.25" hidden="1">
      <c r="M3" s="813">
        <v>0</v>
      </c>
    </row>
    <row customHeight="1" ht="3">
      <c r="M4" s="813">
        <v>3</v>
      </c>
    </row>
    <row s="62286" customFormat="1" customHeight="1" ht="31.5">
      <c r="A5" s="807"/>
      <c r="C5" s="782"/>
      <c r="D5" s="2792" t="s">
        <v>1962</v>
      </c>
      <c r="E5" s="2792"/>
      <c r="F5" s="2792"/>
      <c r="G5" s="2792"/>
      <c r="H5" s="2792"/>
      <c r="I5" s="957"/>
      <c r="M5" s="775">
        <v>30</v>
      </c>
    </row>
    <row customHeight="1" ht="3" hidden="1">
      <c r="D6" s="814"/>
      <c r="E6" s="814"/>
      <c r="F6" s="814"/>
      <c r="G6" s="814"/>
      <c r="H6" s="814"/>
      <c r="I6" s="814"/>
      <c r="M6" s="813">
        <v>0</v>
      </c>
    </row>
    <row s="63174" customFormat="1" customHeight="1" ht="14.699999999999998">
      <c r="B7" s="811"/>
      <c r="C7" s="812"/>
      <c r="D7" s="815"/>
      <c r="E7" s="815"/>
      <c r="F7" s="815"/>
      <c r="G7" s="815"/>
      <c r="H7" s="1444"/>
      <c r="I7" s="815"/>
      <c r="J7" s="816"/>
      <c r="M7" s="810">
        <v>14</v>
      </c>
    </row>
    <row customHeight="1" ht="14.699999999999998">
      <c r="D8" s="2901" t="s">
        <v>375</v>
      </c>
      <c r="E8" s="2901"/>
      <c r="F8" s="2901"/>
      <c r="G8" s="2901"/>
      <c r="H8" s="2901"/>
      <c r="I8" s="2901" t="s">
        <v>376</v>
      </c>
      <c r="M8" s="813">
        <v>14</v>
      </c>
    </row>
    <row customHeight="1" ht="29.25">
      <c r="D9" s="2901" t="s">
        <v>89</v>
      </c>
      <c r="E9" s="2901" t="s">
        <v>1963</v>
      </c>
      <c r="F9" s="2901"/>
      <c r="G9" s="2901"/>
      <c r="H9" s="2901"/>
      <c r="I9" s="2901"/>
      <c r="M9" s="813">
        <v>28</v>
      </c>
    </row>
    <row customHeight="1" ht="24">
      <c r="D10" s="2901"/>
      <c r="E10" s="819" t="s">
        <v>1964</v>
      </c>
      <c r="F10" s="819" t="s">
        <v>1965</v>
      </c>
      <c r="G10" s="819" t="s">
        <v>1966</v>
      </c>
      <c r="H10" s="819" t="s">
        <v>465</v>
      </c>
      <c r="I10" s="2901"/>
      <c r="M10" s="813">
        <v>23</v>
      </c>
    </row>
    <row customHeight="1" ht="12" hidden="1">
      <c r="D11" s="779" t="s">
        <v>118</v>
      </c>
      <c r="E11" s="779" t="s">
        <v>92</v>
      </c>
      <c r="F11" s="779" t="s">
        <v>119</v>
      </c>
      <c r="G11" s="779" t="s">
        <v>93</v>
      </c>
      <c r="H11" s="779" t="s">
        <v>94</v>
      </c>
      <c r="I11" s="779" t="s">
        <v>120</v>
      </c>
      <c r="M11" s="813">
        <v>0</v>
      </c>
    </row>
    <row s="62977" customFormat="1" customHeight="1" ht="26.25">
      <c r="A12" s="837" t="s">
        <v>91</v>
      </c>
      <c r="B12" s="817" t="s">
        <v>28</v>
      </c>
      <c r="C12" s="818"/>
      <c r="D12" s="820" t="s">
        <v>118</v>
      </c>
      <c r="E12" s="1073"/>
      <c r="F12" s="1073"/>
      <c r="G12" s="2426" t="s">
        <v>28</v>
      </c>
      <c r="H12" s="1074"/>
      <c r="I12" s="2861" t="s">
        <v>1967</v>
      </c>
      <c r="K12" s="964"/>
      <c r="L12" s="965"/>
      <c r="M12" s="809">
        <v>25</v>
      </c>
    </row>
    <row customHeight="1" ht="15.75">
      <c r="A13" s="813"/>
      <c r="B13" s="813"/>
      <c r="C13" s="813"/>
      <c r="D13" s="801"/>
      <c r="E13" s="822" t="s">
        <v>542</v>
      </c>
      <c r="F13" s="821"/>
      <c r="G13" s="821"/>
      <c r="H13" s="906"/>
      <c r="I13" s="2863"/>
      <c r="M13" s="813">
        <v>15</v>
      </c>
    </row>
    <row customHeight="1" ht="3">
      <c r="A14" s="813"/>
      <c r="B14" s="813"/>
      <c r="C14" s="813"/>
      <c r="M14" s="813">
        <v>3</v>
      </c>
    </row>
    <row customHeight="1" ht="29.25">
      <c r="E15" s="3188" t="s">
        <v>1968</v>
      </c>
      <c r="F15" s="3188"/>
      <c r="G15" s="3188"/>
      <c r="H15" s="3188"/>
      <c r="M15" s="813">
        <v>28</v>
      </c>
    </row>
    <row customHeight="1" ht="14.25" hidden="1">
      <c r="A16" s="810" t="s">
        <v>83</v>
      </c>
      <c r="B16" s="811">
        <v>0</v>
      </c>
      <c r="C16" s="812">
        <v>3</v>
      </c>
      <c r="D16" s="813">
        <v>6</v>
      </c>
      <c r="E16" s="813">
        <v>22</v>
      </c>
      <c r="F16" s="813">
        <v>15</v>
      </c>
      <c r="G16" s="813">
        <v>14</v>
      </c>
      <c r="H16" s="813">
        <v>47</v>
      </c>
      <c r="I16" s="813">
        <v>115</v>
      </c>
      <c r="J16" s="813">
        <v>3</v>
      </c>
      <c r="K16" s="813">
        <v>8</v>
      </c>
      <c r="L16" s="813">
        <v>8</v>
      </c>
      <c r="M16" s="813">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ECFF1F-E758-B6AB-A5F6-00873D1900E7}" mc:Ignorable="x14ac xr xr2 xr3">
  <sheetPr>
    <tabColor rgb="FFCCCCFF"/>
    <pageSetUpPr fitToPage="1"/>
  </sheetPr>
  <dimension ref="A1:J16"/>
  <sheetViews>
    <sheetView showGridLines="0" zoomScale="90" workbookViewId="0" tabSelected="1">
      <pane xSplit="4" ySplit="11" topLeftCell="E12" activePane="bottomRight" state="frozen"/>
      <selection pane="bottomLeft" activeCell="A12" sqref="A12"/>
      <selection pane="topRight" activeCell="E1" sqref="E1"/>
      <selection pane="bottomRight" activeCell="E12" sqref="E12"/>
    </sheetView>
  </sheetViews>
  <sheetFormatPr defaultColWidth="9.140625" customHeight="1" defaultRowHeight="14.25"/>
  <cols>
    <col min="1" max="2" style="62802" width="9.140625" hidden="1"/>
    <col min="3" max="3" style="62799" width="3.00390625" customWidth="1"/>
    <col min="4" max="4" style="62802" width="6.00390625" customWidth="1"/>
    <col min="5" max="5" style="62802" width="94.00390625" customWidth="1"/>
    <col min="6" max="9" style="62802" width="8.00390625" customWidth="1"/>
    <col min="10" max="10" style="62802" width="9.140625" hidden="1"/>
  </cols>
  <sheetData>
    <row customHeight="1" ht="14.25" hidden="1">
      <c r="J1" s="761" t="s">
        <v>14</v>
      </c>
    </row>
    <row customHeight="1" ht="14.25" hidden="1">
      <c r="J2" s="761">
        <v>0</v>
      </c>
    </row>
    <row customHeight="1" ht="14.25" hidden="1">
      <c r="J3" s="761">
        <v>0</v>
      </c>
    </row>
    <row customHeight="1" ht="14.25" hidden="1">
      <c r="J4" s="761">
        <v>0</v>
      </c>
    </row>
    <row customHeight="1" ht="14.25" hidden="1">
      <c r="J5" s="761">
        <v>0</v>
      </c>
    </row>
    <row customHeight="1" ht="3">
      <c r="C6" s="784"/>
      <c r="D6" s="762"/>
      <c r="E6" s="762"/>
      <c r="J6" s="761">
        <v>3</v>
      </c>
    </row>
    <row customHeight="1" ht="23.25">
      <c r="C7" s="784"/>
      <c r="D7" s="3189" t="s">
        <v>1969</v>
      </c>
      <c r="E7" s="3190"/>
      <c r="F7" s="959"/>
      <c r="J7" s="761">
        <v>22</v>
      </c>
    </row>
    <row customHeight="1" ht="3">
      <c r="C8" s="784"/>
      <c r="D8" s="762"/>
      <c r="E8" s="762"/>
      <c r="J8" s="761">
        <v>3</v>
      </c>
    </row>
    <row customHeight="1" ht="16.8">
      <c r="C9" s="784"/>
      <c r="D9" s="797" t="s">
        <v>89</v>
      </c>
      <c r="E9" s="952" t="s">
        <v>1970</v>
      </c>
      <c r="J9" s="761">
        <v>16</v>
      </c>
    </row>
    <row customHeight="1" ht="1.05">
      <c r="C10" s="784"/>
      <c r="D10" s="779"/>
      <c r="E10" s="779"/>
      <c r="J10" s="761">
        <v>1</v>
      </c>
    </row>
    <row customHeight="1" ht="11.25" hidden="1">
      <c r="C11" s="784"/>
      <c r="D11" s="842">
        <v>0</v>
      </c>
      <c r="E11" s="953"/>
      <c r="J11" s="761">
        <v>0</v>
      </c>
    </row>
    <row customHeight="1" ht="45.75">
      <c r="C12" s="828"/>
      <c r="D12" s="805">
        <v>1</v>
      </c>
      <c r="E12" s="1069" t="s">
        <v>1971</v>
      </c>
      <c r="J12" s="761">
        <v>15</v>
      </c>
    </row>
    <row customHeight="1" ht="12.75">
      <c r="C13" s="784"/>
      <c r="D13" s="954"/>
      <c r="E13" s="955" t="s">
        <v>1972</v>
      </c>
      <c r="J13" s="761">
        <v>12</v>
      </c>
    </row>
    <row customHeight="1" ht="3">
      <c r="J14" s="761">
        <v>3</v>
      </c>
    </row>
    <row customHeight="1" ht="23.25">
      <c r="C15" s="829"/>
      <c r="D15" s="3191" t="s">
        <v>1973</v>
      </c>
      <c r="E15" s="3191"/>
      <c r="F15" s="830"/>
      <c r="G15" s="830"/>
      <c r="H15" s="830"/>
      <c r="I15" s="830"/>
      <c r="J15" s="761">
        <v>22</v>
      </c>
    </row>
    <row customHeight="1" ht="14.25" hidden="1">
      <c r="A16" s="761" t="s">
        <v>83</v>
      </c>
      <c r="B16" s="761">
        <v>0</v>
      </c>
      <c r="C16" s="783">
        <v>3</v>
      </c>
      <c r="D16" s="761">
        <v>6</v>
      </c>
      <c r="E16" s="761">
        <v>94</v>
      </c>
      <c r="F16" s="761">
        <v>8</v>
      </c>
      <c r="G16" s="761">
        <v>8</v>
      </c>
      <c r="H16" s="761">
        <v>8</v>
      </c>
      <c r="I16" s="761">
        <v>8</v>
      </c>
      <c r="J16" s="761">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3E5913-A316-D935-1F91-24E6B6D5A5D4}" mc:Ignorable="x14ac xr xr2 xr3">
  <sheetPr>
    <tabColor rgb="FFCCCCFF"/>
    <pageSetUpPr fitToPage="1"/>
  </sheetPr>
  <dimension ref="A1:M14"/>
  <sheetViews>
    <sheetView topLeftCell="C6" showGridLines="0" zoomScale="90" workbookViewId="0">
      <selection activeCell="E12" sqref="E12"/>
    </sheetView>
  </sheetViews>
  <sheetFormatPr defaultColWidth="9.140625" customHeight="1" defaultRowHeight="14.25"/>
  <cols>
    <col min="1" max="2" style="62802" width="9.140625" hidden="1"/>
    <col min="3" max="3" style="62799" width="3.00390625" customWidth="1"/>
    <col min="4" max="4" style="62802" width="6.00390625" customWidth="1"/>
    <col min="5" max="5" style="62802" width="94.00390625" customWidth="1"/>
    <col min="6" max="12" style="62802" width="8.00390625" customWidth="1"/>
    <col min="13" max="13" style="62802" width="9.140625" hidden="1"/>
  </cols>
  <sheetData>
    <row customHeight="1" ht="14.25" hidden="1">
      <c r="L1" s="956"/>
      <c r="M1" s="761" t="s">
        <v>14</v>
      </c>
    </row>
    <row customHeight="1" ht="14.25" hidden="1">
      <c r="M2" s="761">
        <v>0</v>
      </c>
    </row>
    <row customHeight="1" ht="14.25" hidden="1">
      <c r="M3" s="761">
        <v>0</v>
      </c>
    </row>
    <row customHeight="1" ht="14.25" hidden="1">
      <c r="M4" s="761">
        <v>0</v>
      </c>
    </row>
    <row customHeight="1" ht="14.25" hidden="1">
      <c r="M5" s="761">
        <v>0</v>
      </c>
    </row>
    <row customHeight="1" ht="3">
      <c r="C6" s="784"/>
      <c r="D6" s="762"/>
      <c r="E6" s="762"/>
      <c r="M6" s="761">
        <v>3</v>
      </c>
    </row>
    <row customHeight="1" ht="23.25">
      <c r="C7" s="784"/>
      <c r="D7" s="2792" t="s">
        <v>1974</v>
      </c>
      <c r="E7" s="2792"/>
      <c r="F7" s="959"/>
      <c r="M7" s="761">
        <v>22</v>
      </c>
    </row>
    <row customHeight="1" ht="3">
      <c r="C8" s="784"/>
      <c r="D8" s="762"/>
      <c r="E8" s="762"/>
      <c r="M8" s="761">
        <v>3</v>
      </c>
    </row>
    <row customHeight="1" ht="16.8">
      <c r="C9" s="784"/>
      <c r="D9" s="797" t="s">
        <v>89</v>
      </c>
      <c r="E9" s="800" t="s">
        <v>362</v>
      </c>
      <c r="M9" s="761">
        <v>16</v>
      </c>
    </row>
    <row customHeight="1" ht="12.75">
      <c r="C10" s="784"/>
      <c r="D10" s="779" t="s">
        <v>118</v>
      </c>
      <c r="E10" s="779" t="s">
        <v>103</v>
      </c>
      <c r="M10" s="761">
        <v>12</v>
      </c>
    </row>
    <row customHeight="1" ht="15" hidden="1">
      <c r="C11" s="784"/>
      <c r="D11" s="805">
        <v>0</v>
      </c>
      <c r="E11" s="841"/>
      <c r="M11" s="761">
        <v>0</v>
      </c>
    </row>
    <row customHeight="1" ht="60.75">
      <c r="A12" s="56901"/>
      <c r="B12" s="56901"/>
      <c r="C12" s="2509" t="s">
        <v>104</v>
      </c>
      <c r="D12" s="805" t="s">
        <v>118</v>
      </c>
      <c r="E12" s="806" t="s">
        <v>1975</v>
      </c>
      <c r="F12" s="56901"/>
      <c r="G12" s="56901"/>
      <c r="H12" s="56901"/>
      <c r="I12" s="56901"/>
      <c r="J12" s="56901"/>
      <c r="K12" s="56901"/>
      <c r="L12" s="56901"/>
      <c r="M12" s="56901"/>
    </row>
    <row customHeight="1" ht="14.699999999999998">
      <c r="C13" s="784"/>
      <c r="D13" s="801"/>
      <c r="E13" s="799" t="s">
        <v>1972</v>
      </c>
      <c r="M13" s="761">
        <v>14</v>
      </c>
    </row>
    <row customHeight="1" ht="14.25" hidden="1">
      <c r="A14" s="761" t="s">
        <v>83</v>
      </c>
      <c r="B14" s="761">
        <v>0</v>
      </c>
      <c r="C14" s="783">
        <v>3</v>
      </c>
      <c r="D14" s="761">
        <v>6</v>
      </c>
      <c r="E14" s="761">
        <v>94</v>
      </c>
      <c r="F14" s="761">
        <v>8</v>
      </c>
      <c r="G14" s="761">
        <v>8</v>
      </c>
      <c r="H14" s="761">
        <v>8</v>
      </c>
      <c r="I14" s="761">
        <v>8</v>
      </c>
      <c r="J14" s="761">
        <v>8</v>
      </c>
      <c r="K14" s="761">
        <v>8</v>
      </c>
      <c r="L14" s="761">
        <v>8</v>
      </c>
      <c r="M14" s="761">
        <v>14</v>
      </c>
    </row>
  </sheetData>
  <sheetProtection sheet="1" formatColumns="0" formatRows="0" autoFilter="0" sort="1" insertRows="1" insertColumns="1" deleteRows="1" deleteColumns="1"/>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AF724C-8F31-8F89-11D7-CB4A7BF5B554}"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63225" width="9.140625" hidden="1"/>
    <col min="3" max="4" style="63225" width="3.00390625" customWidth="1"/>
    <col min="5" max="6" style="63225" width="15.00390625" customWidth="1"/>
    <col min="7" max="7" style="63225" width="11.57421875" customWidth="1"/>
    <col min="8" max="9" style="63225" width="3.00390625" customWidth="1"/>
    <col min="10" max="10" style="63225" width="12.00390625" customWidth="1"/>
    <col min="11" max="11" style="63225" width="0.28125" customWidth="1"/>
    <col min="12" max="13" style="63225" width="10.00390625" customWidth="1"/>
    <col min="14" max="15" style="63225" width="3.00390625" customWidth="1"/>
    <col min="16" max="16" style="63225" width="19.00390625" customWidth="1"/>
    <col min="17" max="17" style="63225" width="0.28125" customWidth="1"/>
    <col min="18" max="19" style="63225" width="10.00390625" customWidth="1"/>
    <col min="20" max="21" style="63225" width="3.00390625" customWidth="1"/>
    <col min="22" max="22" style="63225" width="25.00390625" customWidth="1"/>
    <col min="23" max="23" style="63225" width="0.28125" customWidth="1"/>
    <col min="24" max="25" style="63225" width="10.00390625" customWidth="1"/>
    <col min="26" max="27" style="63225" width="3.00390625" customWidth="1"/>
    <col min="28" max="28" style="63225" width="16.00390625" customWidth="1"/>
    <col min="29" max="29" style="63225" width="0.28125" customWidth="1"/>
    <col min="30" max="31" style="63225" width="10.00390625" customWidth="1"/>
    <col min="32" max="33" style="63225" width="3.00390625" customWidth="1"/>
    <col min="34" max="34" style="63225" width="8.00390625" customWidth="1"/>
    <col min="35" max="35" style="63225" width="21.00390625" customWidth="1"/>
    <col min="36" max="36" style="63225" width="8.00390625" customWidth="1"/>
    <col min="37" max="37" style="63174" width="8.00390625" customWidth="1"/>
    <col min="38" max="64" style="63225" width="8.00390625" customWidth="1"/>
    <col min="65" max="65" style="63225" width="9.140625" hidden="1"/>
  </cols>
  <sheetData>
    <row s="63182" customFormat="1" customHeight="1" ht="11.25" hidden="1">
      <c r="AJ1" s="1114"/>
      <c r="AK1" s="1114"/>
      <c r="AL1" s="1114"/>
      <c r="AM1" s="1114"/>
      <c r="AN1" s="1114"/>
      <c r="AO1" s="1114"/>
      <c r="AP1" s="1114"/>
      <c r="AQ1" s="1114"/>
      <c r="AR1" s="1114"/>
      <c r="AS1" s="1114"/>
      <c r="AT1" s="1114"/>
      <c r="AU1" s="1114"/>
      <c r="AV1" s="1114"/>
      <c r="AW1" s="1114"/>
      <c r="AX1" s="1114"/>
      <c r="AY1" s="1114"/>
      <c r="AZ1" s="1114"/>
      <c r="BA1" s="1114"/>
      <c r="BB1" s="1114"/>
      <c r="BC1" s="1114"/>
      <c r="BD1" s="1114"/>
      <c r="BE1" s="1114"/>
      <c r="BF1" s="1114"/>
      <c r="BG1" s="1114"/>
      <c r="BH1" s="1114"/>
      <c r="BI1" s="1114"/>
      <c r="BJ1" s="1114"/>
      <c r="BK1" s="1114"/>
      <c r="BL1" s="1114"/>
      <c r="BM1" s="1111" t="s">
        <v>14</v>
      </c>
    </row>
    <row s="58044" customFormat="1" customHeight="1" ht="11.25" hidden="1">
      <c r="L2" s="2245" t="s">
        <v>354</v>
      </c>
      <c r="M2" s="2245" t="s">
        <v>355</v>
      </c>
      <c r="R2" s="2245" t="s">
        <v>356</v>
      </c>
      <c r="S2" s="2245" t="s">
        <v>355</v>
      </c>
      <c r="X2" s="2245" t="s">
        <v>354</v>
      </c>
      <c r="Y2" s="2245" t="s">
        <v>355</v>
      </c>
      <c r="AD2" s="2245" t="s">
        <v>354</v>
      </c>
      <c r="AE2" s="2245" t="s">
        <v>355</v>
      </c>
      <c r="AJ2" s="2267"/>
      <c r="AK2" s="2267"/>
      <c r="AL2" s="2267"/>
      <c r="AM2" s="2267"/>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45">
        <v>0</v>
      </c>
    </row>
    <row s="58049" customFormat="1" customHeight="1" ht="11.549999999999999">
      <c r="AJ3" s="2266"/>
      <c r="AK3" s="998"/>
      <c r="AL3" s="2266"/>
      <c r="AM3" s="2266"/>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46">
        <v>11</v>
      </c>
    </row>
    <row s="58273" customFormat="1" customHeight="1" ht="34.5">
      <c r="A4" s="1848"/>
      <c r="B4" s="1847"/>
      <c r="C4" s="2207"/>
      <c r="D4" s="2883" t="s">
        <v>357</v>
      </c>
      <c r="E4" s="2883"/>
      <c r="F4" s="2883"/>
      <c r="G4" s="2883"/>
      <c r="H4" s="2883"/>
      <c r="I4" s="2883"/>
      <c r="J4" s="2883"/>
      <c r="K4" s="1391"/>
      <c r="T4" s="2247"/>
      <c r="AJ4" s="2268"/>
      <c r="AK4" s="2269"/>
      <c r="AL4" s="2268"/>
      <c r="AM4" s="2268"/>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1199">
        <v>33</v>
      </c>
    </row>
    <row s="58273" customFormat="1" customHeight="1" ht="14.699999999999998">
      <c r="A5" s="2324"/>
      <c r="B5" s="2323"/>
      <c r="C5" s="2207"/>
      <c r="D5" s="2868" t="str">
        <f>IF(org=0,"Не определено",org)</f>
        <v>АО "ДГК"</v>
      </c>
      <c r="E5" s="2868"/>
      <c r="F5" s="2868"/>
      <c r="G5" s="2868"/>
      <c r="H5" s="2868"/>
      <c r="I5" s="2868"/>
      <c r="J5" s="2868"/>
      <c r="K5" s="1391"/>
      <c r="T5" s="2247"/>
      <c r="AJ5" s="2268"/>
      <c r="AK5" s="2269"/>
      <c r="AL5" s="2268"/>
      <c r="AM5" s="2268"/>
      <c r="AN5" s="2268"/>
      <c r="AO5" s="2268"/>
      <c r="AP5" s="2268"/>
      <c r="AQ5" s="2268"/>
      <c r="AR5" s="2268"/>
      <c r="AS5" s="2268"/>
      <c r="AT5" s="2268"/>
      <c r="AU5" s="2268"/>
      <c r="AV5" s="2268"/>
      <c r="AW5" s="2268"/>
      <c r="AX5" s="2268"/>
      <c r="AY5" s="2268"/>
      <c r="AZ5" s="2268"/>
      <c r="BA5" s="2268"/>
      <c r="BB5" s="2268"/>
      <c r="BC5" s="2268"/>
      <c r="BD5" s="2268"/>
      <c r="BE5" s="2268"/>
      <c r="BF5" s="2268"/>
      <c r="BG5" s="2268"/>
      <c r="BH5" s="2268"/>
      <c r="BI5" s="2268"/>
      <c r="BJ5" s="2268"/>
      <c r="BK5" s="2268"/>
      <c r="BL5" s="2268"/>
      <c r="BM5" s="2301">
        <v>14</v>
      </c>
    </row>
    <row s="58273" customFormat="1" customHeight="1" ht="14.699999999999998">
      <c r="A6" s="1848"/>
      <c r="B6" s="1847"/>
      <c r="C6" s="2207"/>
      <c r="D6" s="1391"/>
      <c r="E6" s="1391"/>
      <c r="F6" s="1391"/>
      <c r="G6" s="1391"/>
      <c r="H6" s="1391"/>
      <c r="I6" s="1391"/>
      <c r="J6" s="1391"/>
      <c r="K6" s="1391"/>
      <c r="T6" s="2247"/>
      <c r="AJ6" s="2268"/>
      <c r="AK6" s="2269"/>
      <c r="AL6" s="2268"/>
      <c r="AM6" s="2268"/>
      <c r="AN6" s="2268"/>
      <c r="AO6" s="2268"/>
      <c r="AP6" s="2268"/>
      <c r="AQ6" s="2268"/>
      <c r="AR6" s="2268"/>
      <c r="AS6" s="2268"/>
      <c r="AT6" s="2268"/>
      <c r="AU6" s="2268"/>
      <c r="AV6" s="2268"/>
      <c r="AW6" s="2268"/>
      <c r="AX6" s="2268"/>
      <c r="AY6" s="2268"/>
      <c r="AZ6" s="2268"/>
      <c r="BA6" s="2268"/>
      <c r="BB6" s="2268"/>
      <c r="BC6" s="2268"/>
      <c r="BD6" s="2268"/>
      <c r="BE6" s="2268"/>
      <c r="BF6" s="2268"/>
      <c r="BG6" s="2268"/>
      <c r="BH6" s="2268"/>
      <c r="BI6" s="2268"/>
      <c r="BJ6" s="2268"/>
      <c r="BK6" s="2268"/>
      <c r="BL6" s="2268"/>
      <c r="BM6" s="1199">
        <v>14</v>
      </c>
    </row>
    <row s="63182" customFormat="1" customHeight="1" ht="1.05">
      <c r="AJ7" s="1114"/>
      <c r="AK7" s="1114"/>
      <c r="AL7" s="1114"/>
      <c r="AM7" s="1114"/>
      <c r="AN7" s="1114"/>
      <c r="AO7" s="1114"/>
      <c r="AP7" s="1114"/>
      <c r="AQ7" s="1114"/>
      <c r="AR7" s="1114"/>
      <c r="AS7" s="1114"/>
      <c r="AT7" s="1114"/>
      <c r="AU7" s="1114"/>
      <c r="AV7" s="1114"/>
      <c r="AW7" s="1114"/>
      <c r="AX7" s="1114"/>
      <c r="AY7" s="1114"/>
      <c r="AZ7" s="1114"/>
      <c r="BA7" s="1114"/>
      <c r="BB7" s="1114"/>
      <c r="BC7" s="1114"/>
      <c r="BD7" s="1114"/>
      <c r="BE7" s="1114"/>
      <c r="BF7" s="1114"/>
      <c r="BG7" s="1114"/>
      <c r="BH7" s="1114"/>
      <c r="BI7" s="1114"/>
      <c r="BJ7" s="1114"/>
      <c r="BK7" s="1114"/>
      <c r="BL7" s="1114"/>
      <c r="BM7" s="1111">
        <v>1</v>
      </c>
    </row>
    <row customHeight="1" ht="33.75">
      <c r="D8" s="2819" t="s">
        <v>89</v>
      </c>
      <c r="E8" s="2819" t="s">
        <v>114</v>
      </c>
      <c r="F8" s="2884" t="s">
        <v>130</v>
      </c>
      <c r="G8" s="2885"/>
      <c r="H8" s="2884" t="s">
        <v>89</v>
      </c>
      <c r="I8" s="2885"/>
      <c r="J8" s="2819" t="s">
        <v>131</v>
      </c>
      <c r="K8" s="2248"/>
      <c r="L8" s="2888" t="s">
        <v>358</v>
      </c>
      <c r="M8" s="2888"/>
      <c r="N8" s="2888"/>
      <c r="O8" s="2888"/>
      <c r="P8" s="2888"/>
      <c r="Q8" s="2249"/>
      <c r="R8" s="2788" t="s">
        <v>359</v>
      </c>
      <c r="S8" s="2889"/>
      <c r="T8" s="2889"/>
      <c r="U8" s="2889"/>
      <c r="V8" s="2889"/>
      <c r="W8" s="2249"/>
      <c r="X8" s="2890" t="s">
        <v>360</v>
      </c>
      <c r="Y8" s="2890"/>
      <c r="Z8" s="2890"/>
      <c r="AA8" s="2890"/>
      <c r="AB8" s="2890"/>
      <c r="AC8" s="2250"/>
      <c r="AD8" s="2819" t="s">
        <v>361</v>
      </c>
      <c r="AE8" s="2819"/>
      <c r="AF8" s="2819"/>
      <c r="AG8" s="2819"/>
      <c r="AH8" s="2793"/>
      <c r="AI8" s="2819" t="s">
        <v>362</v>
      </c>
      <c r="AJ8" s="2266"/>
      <c r="BM8" s="985">
        <v>32</v>
      </c>
    </row>
    <row customHeight="1" ht="23.25">
      <c r="D9" s="2819"/>
      <c r="E9" s="2819"/>
      <c r="F9" s="2867" t="s">
        <v>90</v>
      </c>
      <c r="G9" s="2867" t="s">
        <v>136</v>
      </c>
      <c r="H9" s="2886"/>
      <c r="I9" s="2887"/>
      <c r="J9" s="2793"/>
      <c r="K9" s="2251"/>
      <c r="L9" s="2819" t="s">
        <v>363</v>
      </c>
      <c r="M9" s="2793"/>
      <c r="N9" s="2884" t="s">
        <v>89</v>
      </c>
      <c r="O9" s="2885"/>
      <c r="P9" s="2819" t="s">
        <v>137</v>
      </c>
      <c r="Q9" s="2248"/>
      <c r="R9" s="2819" t="s">
        <v>363</v>
      </c>
      <c r="S9" s="2793"/>
      <c r="T9" s="2884" t="s">
        <v>89</v>
      </c>
      <c r="U9" s="2885"/>
      <c r="V9" s="2819" t="s">
        <v>137</v>
      </c>
      <c r="W9" s="2248"/>
      <c r="X9" s="2819" t="s">
        <v>363</v>
      </c>
      <c r="Y9" s="2793"/>
      <c r="Z9" s="2884" t="s">
        <v>89</v>
      </c>
      <c r="AA9" s="2885"/>
      <c r="AB9" s="2819" t="s">
        <v>364</v>
      </c>
      <c r="AC9" s="2248"/>
      <c r="AD9" s="2819" t="s">
        <v>363</v>
      </c>
      <c r="AE9" s="2793"/>
      <c r="AF9" s="2884" t="s">
        <v>89</v>
      </c>
      <c r="AG9" s="2885"/>
      <c r="AH9" s="2793" t="s">
        <v>364</v>
      </c>
      <c r="AI9" s="2819"/>
      <c r="AJ9" s="2266"/>
      <c r="BM9" s="985">
        <v>22</v>
      </c>
    </row>
    <row customHeight="1" ht="24">
      <c r="D10" s="2867"/>
      <c r="E10" s="2867"/>
      <c r="F10" s="2891"/>
      <c r="G10" s="2891"/>
      <c r="H10" s="2892"/>
      <c r="I10" s="2893"/>
      <c r="J10" s="2884"/>
      <c r="K10" s="2251"/>
      <c r="L10" s="2270" t="s">
        <v>365</v>
      </c>
      <c r="M10" s="2265" t="s">
        <v>366</v>
      </c>
      <c r="N10" s="2886"/>
      <c r="O10" s="2887"/>
      <c r="P10" s="2867"/>
      <c r="Q10" s="2248"/>
      <c r="R10" s="2270" t="s">
        <v>365</v>
      </c>
      <c r="S10" s="2265" t="s">
        <v>366</v>
      </c>
      <c r="T10" s="2886"/>
      <c r="U10" s="2887"/>
      <c r="V10" s="2867"/>
      <c r="W10" s="2248"/>
      <c r="X10" s="2270" t="s">
        <v>365</v>
      </c>
      <c r="Y10" s="2265" t="s">
        <v>366</v>
      </c>
      <c r="Z10" s="2886"/>
      <c r="AA10" s="2887"/>
      <c r="AB10" s="2867"/>
      <c r="AC10" s="2248"/>
      <c r="AD10" s="2270" t="s">
        <v>365</v>
      </c>
      <c r="AE10" s="2265" t="s">
        <v>366</v>
      </c>
      <c r="AF10" s="2886"/>
      <c r="AG10" s="2887"/>
      <c r="AH10" s="2884"/>
      <c r="AI10" s="2867"/>
      <c r="AJ10" s="2266"/>
      <c r="AK10" s="946" t="s">
        <v>367</v>
      </c>
      <c r="AL10" s="946" t="s">
        <v>138</v>
      </c>
      <c r="BM10" s="985">
        <v>23</v>
      </c>
    </row>
    <row customHeight="1" ht="15">
      <c r="D11" s="2875" t="s">
        <v>118</v>
      </c>
      <c r="E11" s="2871" t="s">
        <v>368</v>
      </c>
      <c r="F11" s="2871" t="s">
        <v>369</v>
      </c>
      <c r="G11" s="2877" t="s">
        <v>19</v>
      </c>
      <c r="H11" s="2291"/>
      <c r="I11" s="2873"/>
      <c r="J11" s="2844"/>
      <c r="K11" s="2206"/>
      <c r="L11" s="2829"/>
      <c r="M11" s="2829"/>
      <c r="N11" s="2276"/>
      <c r="O11" s="2829"/>
      <c r="P11" s="2844"/>
      <c r="Q11" s="2277"/>
      <c r="R11" s="2829"/>
      <c r="S11" s="2829"/>
      <c r="T11" s="2278"/>
      <c r="U11" s="2829"/>
      <c r="V11" s="2844"/>
      <c r="W11" s="2279"/>
      <c r="X11" s="2829"/>
      <c r="Y11" s="2829"/>
      <c r="Z11" s="2276"/>
      <c r="AA11" s="2829"/>
      <c r="AB11" s="2844"/>
      <c r="AC11" s="2280"/>
      <c r="AD11" s="2829"/>
      <c r="AE11" s="2829"/>
      <c r="AF11" s="2205"/>
      <c r="AG11" s="2205"/>
      <c r="AH11" s="2281"/>
      <c r="AI11" s="1988"/>
      <c r="AJ11" s="2266"/>
      <c r="BM11" s="985">
        <v>14</v>
      </c>
    </row>
    <row customHeight="1" ht="14.699999999999998">
      <c r="D12" s="2875"/>
      <c r="E12" s="2871"/>
      <c r="F12" s="2871"/>
      <c r="G12" s="2878"/>
      <c r="H12" s="2292"/>
      <c r="I12" s="2874"/>
      <c r="J12" s="2845"/>
      <c r="K12" s="2302"/>
      <c r="L12" s="2830"/>
      <c r="M12" s="2830"/>
      <c r="N12" s="2282"/>
      <c r="O12" s="2830"/>
      <c r="P12" s="2845"/>
      <c r="Q12" s="2283"/>
      <c r="R12" s="2830"/>
      <c r="S12" s="2830"/>
      <c r="T12" s="2284"/>
      <c r="U12" s="2830"/>
      <c r="V12" s="2845"/>
      <c r="W12" s="2285"/>
      <c r="X12" s="2830"/>
      <c r="Y12" s="2830"/>
      <c r="Z12" s="2282"/>
      <c r="AA12" s="2830"/>
      <c r="AB12" s="2845"/>
      <c r="AC12" s="2286"/>
      <c r="AD12" s="2830"/>
      <c r="AE12" s="2830"/>
      <c r="AF12" s="2287"/>
      <c r="AG12" s="2287"/>
      <c r="AH12" s="2869"/>
      <c r="AI12" s="2870"/>
      <c r="AJ12" s="2266"/>
      <c r="BM12" s="985">
        <v>14</v>
      </c>
    </row>
    <row customHeight="1" ht="14.699999999999998">
      <c r="D13" s="2875"/>
      <c r="E13" s="2871"/>
      <c r="F13" s="2871"/>
      <c r="G13" s="2878"/>
      <c r="H13" s="2292"/>
      <c r="I13" s="2874"/>
      <c r="J13" s="2845"/>
      <c r="K13" s="2302"/>
      <c r="L13" s="2830"/>
      <c r="M13" s="2830"/>
      <c r="N13" s="2282"/>
      <c r="O13" s="2830"/>
      <c r="P13" s="2845"/>
      <c r="Q13" s="2283"/>
      <c r="R13" s="2830"/>
      <c r="S13" s="2830"/>
      <c r="T13" s="2284"/>
      <c r="U13" s="2830"/>
      <c r="V13" s="2845"/>
      <c r="W13" s="2285"/>
      <c r="X13" s="2830"/>
      <c r="Y13" s="2830"/>
      <c r="Z13" s="2204"/>
      <c r="AA13" s="2287"/>
      <c r="AB13" s="2869"/>
      <c r="AC13" s="2869"/>
      <c r="AD13" s="2869"/>
      <c r="AE13" s="2869"/>
      <c r="AF13" s="2869"/>
      <c r="AG13" s="2869"/>
      <c r="AH13" s="2869"/>
      <c r="AI13" s="2870"/>
      <c r="AJ13" s="2266"/>
      <c r="BM13" s="985">
        <v>14</v>
      </c>
    </row>
    <row customHeight="1" ht="14.699999999999998">
      <c r="D14" s="2875"/>
      <c r="E14" s="2871"/>
      <c r="F14" s="2871"/>
      <c r="G14" s="2878"/>
      <c r="H14" s="2292"/>
      <c r="I14" s="2874"/>
      <c r="J14" s="2845"/>
      <c r="K14" s="2302"/>
      <c r="L14" s="2830"/>
      <c r="M14" s="2830"/>
      <c r="N14" s="2282"/>
      <c r="O14" s="2830"/>
      <c r="P14" s="2845"/>
      <c r="Q14" s="2283"/>
      <c r="R14" s="2830"/>
      <c r="S14" s="2830"/>
      <c r="T14" s="2288"/>
      <c r="U14" s="2289"/>
      <c r="V14" s="2869"/>
      <c r="W14" s="2869"/>
      <c r="X14" s="2869"/>
      <c r="Y14" s="2869"/>
      <c r="Z14" s="2869"/>
      <c r="AA14" s="2869"/>
      <c r="AB14" s="2869"/>
      <c r="AC14" s="2869"/>
      <c r="AD14" s="2869"/>
      <c r="AE14" s="2869"/>
      <c r="AF14" s="2869"/>
      <c r="AG14" s="2869"/>
      <c r="AH14" s="2869"/>
      <c r="AI14" s="2870"/>
      <c r="AJ14" s="2266"/>
      <c r="BM14" s="985">
        <v>14</v>
      </c>
    </row>
    <row customHeight="1" ht="11.549999999999999">
      <c r="D15" s="2875"/>
      <c r="E15" s="2871"/>
      <c r="F15" s="2871"/>
      <c r="G15" s="2878"/>
      <c r="H15" s="2293"/>
      <c r="I15" s="2874"/>
      <c r="J15" s="2845"/>
      <c r="K15" s="2302"/>
      <c r="L15" s="2830"/>
      <c r="M15" s="2830"/>
      <c r="N15" s="2287"/>
      <c r="O15" s="2287"/>
      <c r="P15" s="2869"/>
      <c r="Q15" s="2869"/>
      <c r="R15" s="2869"/>
      <c r="S15" s="2869"/>
      <c r="T15" s="2869"/>
      <c r="U15" s="2869"/>
      <c r="V15" s="2869"/>
      <c r="W15" s="2869"/>
      <c r="X15" s="2869"/>
      <c r="Y15" s="2869"/>
      <c r="Z15" s="2869"/>
      <c r="AA15" s="2869"/>
      <c r="AB15" s="2869"/>
      <c r="AC15" s="2869"/>
      <c r="AD15" s="2869"/>
      <c r="AE15" s="2869"/>
      <c r="AF15" s="2869"/>
      <c r="AG15" s="2869"/>
      <c r="AH15" s="2869"/>
      <c r="AI15" s="2870"/>
      <c r="AJ15" s="2266"/>
      <c r="BM15" s="985">
        <v>11</v>
      </c>
    </row>
    <row s="58049" customFormat="1" customHeight="1" ht="11.549999999999999">
      <c r="D16" s="2881"/>
      <c r="E16" s="2882"/>
      <c r="F16" s="2872"/>
      <c r="G16" s="2804"/>
      <c r="H16" s="2290"/>
      <c r="I16" s="2294"/>
      <c r="J16" s="2879"/>
      <c r="K16" s="2879"/>
      <c r="L16" s="2879"/>
      <c r="M16" s="2879"/>
      <c r="N16" s="2879"/>
      <c r="O16" s="2879"/>
      <c r="P16" s="2879"/>
      <c r="Q16" s="2879"/>
      <c r="R16" s="2879"/>
      <c r="S16" s="2879"/>
      <c r="T16" s="2879"/>
      <c r="U16" s="2879"/>
      <c r="V16" s="2879"/>
      <c r="W16" s="2879"/>
      <c r="X16" s="2879"/>
      <c r="Y16" s="2879"/>
      <c r="Z16" s="2879"/>
      <c r="AA16" s="2879"/>
      <c r="AB16" s="2879"/>
      <c r="AC16" s="2879"/>
      <c r="AD16" s="2879"/>
      <c r="AE16" s="2879"/>
      <c r="AF16" s="2879"/>
      <c r="AG16" s="2879"/>
      <c r="AH16" s="2879"/>
      <c r="AI16" s="2880"/>
      <c r="AJ16" s="2266"/>
      <c r="AK16" s="998"/>
      <c r="AL16" s="2266"/>
      <c r="AM16" s="2266"/>
      <c r="AN16" s="2266"/>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46">
        <v>11</v>
      </c>
    </row>
    <row customHeight="1" ht="15">
      <c r="D17" s="2875" t="s">
        <v>103</v>
      </c>
      <c r="E17" s="2871" t="s">
        <v>368</v>
      </c>
      <c r="F17" s="2871" t="s">
        <v>370</v>
      </c>
      <c r="G17" s="2877" t="s">
        <v>19</v>
      </c>
      <c r="H17" s="2291"/>
      <c r="I17" s="2873"/>
      <c r="J17" s="2844"/>
      <c r="K17" s="2206"/>
      <c r="L17" s="2829"/>
      <c r="M17" s="2829"/>
      <c r="N17" s="2276"/>
      <c r="O17" s="2829"/>
      <c r="P17" s="2844"/>
      <c r="Q17" s="2277"/>
      <c r="R17" s="2829"/>
      <c r="S17" s="2829"/>
      <c r="T17" s="2278"/>
      <c r="U17" s="2829"/>
      <c r="V17" s="2844"/>
      <c r="W17" s="2279"/>
      <c r="X17" s="2829"/>
      <c r="Y17" s="2829"/>
      <c r="Z17" s="2276"/>
      <c r="AA17" s="2829"/>
      <c r="AB17" s="2844"/>
      <c r="AC17" s="2280"/>
      <c r="AD17" s="2829"/>
      <c r="AE17" s="2829"/>
      <c r="AF17" s="2205"/>
      <c r="AG17" s="2205"/>
      <c r="AH17" s="2281"/>
      <c r="AI17" s="1988"/>
      <c r="AJ17" s="2266"/>
      <c r="BM17" s="985">
        <v>14</v>
      </c>
    </row>
    <row customHeight="1" ht="14.699999999999998">
      <c r="D18" s="2875"/>
      <c r="E18" s="2871"/>
      <c r="F18" s="2871"/>
      <c r="G18" s="2878"/>
      <c r="H18" s="2292"/>
      <c r="I18" s="2874"/>
      <c r="J18" s="2845"/>
      <c r="K18" s="2275"/>
      <c r="L18" s="2830"/>
      <c r="M18" s="2830"/>
      <c r="N18" s="2282"/>
      <c r="O18" s="2830"/>
      <c r="P18" s="2845"/>
      <c r="Q18" s="2283"/>
      <c r="R18" s="2830"/>
      <c r="S18" s="2830"/>
      <c r="T18" s="2284"/>
      <c r="U18" s="2830"/>
      <c r="V18" s="2845"/>
      <c r="W18" s="2285"/>
      <c r="X18" s="2830"/>
      <c r="Y18" s="2830"/>
      <c r="Z18" s="2282"/>
      <c r="AA18" s="2830"/>
      <c r="AB18" s="2845"/>
      <c r="AC18" s="2286"/>
      <c r="AD18" s="2830"/>
      <c r="AE18" s="2830"/>
      <c r="AF18" s="2287"/>
      <c r="AG18" s="2287"/>
      <c r="AH18" s="2869"/>
      <c r="AI18" s="2870"/>
      <c r="AJ18" s="2266"/>
      <c r="BM18" s="985">
        <v>14</v>
      </c>
    </row>
    <row customHeight="1" ht="14.699999999999998">
      <c r="D19" s="2875"/>
      <c r="E19" s="2871"/>
      <c r="F19" s="2871"/>
      <c r="G19" s="2878"/>
      <c r="H19" s="2292"/>
      <c r="I19" s="2874"/>
      <c r="J19" s="2845"/>
      <c r="K19" s="2275"/>
      <c r="L19" s="2830"/>
      <c r="M19" s="2830"/>
      <c r="N19" s="2282"/>
      <c r="O19" s="2830"/>
      <c r="P19" s="2845"/>
      <c r="Q19" s="2283"/>
      <c r="R19" s="2830"/>
      <c r="S19" s="2830"/>
      <c r="T19" s="2284"/>
      <c r="U19" s="2830"/>
      <c r="V19" s="2845"/>
      <c r="W19" s="2285"/>
      <c r="X19" s="2830"/>
      <c r="Y19" s="2830"/>
      <c r="Z19" s="2204"/>
      <c r="AA19" s="2287"/>
      <c r="AB19" s="2869"/>
      <c r="AC19" s="2869"/>
      <c r="AD19" s="2869"/>
      <c r="AE19" s="2869"/>
      <c r="AF19" s="2869"/>
      <c r="AG19" s="2869"/>
      <c r="AH19" s="2869"/>
      <c r="AI19" s="2870"/>
      <c r="AJ19" s="2266"/>
      <c r="BM19" s="985">
        <v>14</v>
      </c>
    </row>
    <row customHeight="1" ht="14.699999999999998">
      <c r="D20" s="2875"/>
      <c r="E20" s="2871"/>
      <c r="F20" s="2871"/>
      <c r="G20" s="2878"/>
      <c r="H20" s="2292"/>
      <c r="I20" s="2874"/>
      <c r="J20" s="2845"/>
      <c r="K20" s="2275"/>
      <c r="L20" s="2830"/>
      <c r="M20" s="2830"/>
      <c r="N20" s="2282"/>
      <c r="O20" s="2830"/>
      <c r="P20" s="2845"/>
      <c r="Q20" s="2283"/>
      <c r="R20" s="2830"/>
      <c r="S20" s="2830"/>
      <c r="T20" s="2288"/>
      <c r="U20" s="2289"/>
      <c r="V20" s="2869"/>
      <c r="W20" s="2869"/>
      <c r="X20" s="2869"/>
      <c r="Y20" s="2869"/>
      <c r="Z20" s="2869"/>
      <c r="AA20" s="2869"/>
      <c r="AB20" s="2869"/>
      <c r="AC20" s="2869"/>
      <c r="AD20" s="2869"/>
      <c r="AE20" s="2869"/>
      <c r="AF20" s="2869"/>
      <c r="AG20" s="2869"/>
      <c r="AH20" s="2869"/>
      <c r="AI20" s="2870"/>
      <c r="AJ20" s="2266"/>
      <c r="BM20" s="985">
        <v>14</v>
      </c>
    </row>
    <row customHeight="1" ht="11.549999999999999">
      <c r="D21" s="2875"/>
      <c r="E21" s="2871"/>
      <c r="F21" s="2871"/>
      <c r="G21" s="2878"/>
      <c r="H21" s="2293"/>
      <c r="I21" s="2874"/>
      <c r="J21" s="2845"/>
      <c r="K21" s="2275"/>
      <c r="L21" s="2830"/>
      <c r="M21" s="2830"/>
      <c r="N21" s="2287"/>
      <c r="O21" s="2287"/>
      <c r="P21" s="2869"/>
      <c r="Q21" s="2869"/>
      <c r="R21" s="2869"/>
      <c r="S21" s="2869"/>
      <c r="T21" s="2869"/>
      <c r="U21" s="2869"/>
      <c r="V21" s="2869"/>
      <c r="W21" s="2869"/>
      <c r="X21" s="2869"/>
      <c r="Y21" s="2869"/>
      <c r="Z21" s="2869"/>
      <c r="AA21" s="2869"/>
      <c r="AB21" s="2869"/>
      <c r="AC21" s="2869"/>
      <c r="AD21" s="2869"/>
      <c r="AE21" s="2869"/>
      <c r="AF21" s="2869"/>
      <c r="AG21" s="2869"/>
      <c r="AH21" s="2869"/>
      <c r="AI21" s="2870"/>
      <c r="AJ21" s="2266"/>
      <c r="BM21" s="985">
        <v>11</v>
      </c>
    </row>
    <row s="58049" customFormat="1" customHeight="1" ht="11.549999999999999">
      <c r="D22" s="2881"/>
      <c r="E22" s="2882"/>
      <c r="F22" s="2872"/>
      <c r="G22" s="2804"/>
      <c r="H22" s="2290"/>
      <c r="I22" s="2294"/>
      <c r="J22" s="2879"/>
      <c r="K22" s="2879"/>
      <c r="L22" s="2879"/>
      <c r="M22" s="2879"/>
      <c r="N22" s="2879"/>
      <c r="O22" s="2879"/>
      <c r="P22" s="2879"/>
      <c r="Q22" s="2879"/>
      <c r="R22" s="2879"/>
      <c r="S22" s="2879"/>
      <c r="T22" s="2879"/>
      <c r="U22" s="2879"/>
      <c r="V22" s="2879"/>
      <c r="W22" s="2879"/>
      <c r="X22" s="2879"/>
      <c r="Y22" s="2879"/>
      <c r="Z22" s="2879"/>
      <c r="AA22" s="2879"/>
      <c r="AB22" s="2879"/>
      <c r="AC22" s="2879"/>
      <c r="AD22" s="2879"/>
      <c r="AE22" s="2879"/>
      <c r="AF22" s="2879"/>
      <c r="AG22" s="2879"/>
      <c r="AH22" s="2879"/>
      <c r="AI22" s="2880"/>
      <c r="AJ22" s="2266"/>
      <c r="AK22" s="998"/>
      <c r="AL22" s="2266"/>
      <c r="AM22" s="2266"/>
      <c r="AN22" s="2266"/>
      <c r="AO22" s="2266"/>
      <c r="AP22" s="2266"/>
      <c r="AQ22" s="2266"/>
      <c r="AR22" s="2266"/>
      <c r="AS22" s="2266"/>
      <c r="AT22" s="2266"/>
      <c r="AU22" s="2266"/>
      <c r="AV22" s="2266"/>
      <c r="AW22" s="2266"/>
      <c r="AX22" s="2266"/>
      <c r="AY22" s="2266"/>
      <c r="AZ22" s="2266"/>
      <c r="BA22" s="2266"/>
      <c r="BB22" s="2266"/>
      <c r="BC22" s="2266"/>
      <c r="BD22" s="2266"/>
      <c r="BE22" s="2266"/>
      <c r="BF22" s="2266"/>
      <c r="BG22" s="2266"/>
      <c r="BH22" s="2266"/>
      <c r="BI22" s="2266"/>
      <c r="BJ22" s="2266"/>
      <c r="BK22" s="2266"/>
      <c r="BL22" s="2266"/>
      <c r="BM22" s="2246">
        <v>11</v>
      </c>
    </row>
    <row customHeight="1" ht="15">
      <c r="D23" s="2875" t="s">
        <v>91</v>
      </c>
      <c r="E23" s="2871" t="s">
        <v>368</v>
      </c>
      <c r="F23" s="2871" t="s">
        <v>371</v>
      </c>
      <c r="G23" s="2877" t="s">
        <v>19</v>
      </c>
      <c r="H23" s="2291"/>
      <c r="I23" s="2873"/>
      <c r="J23" s="2844"/>
      <c r="K23" s="2206"/>
      <c r="L23" s="2829"/>
      <c r="M23" s="2829"/>
      <c r="N23" s="2276"/>
      <c r="O23" s="2829"/>
      <c r="P23" s="2844"/>
      <c r="Q23" s="2277"/>
      <c r="R23" s="2829"/>
      <c r="S23" s="2829"/>
      <c r="T23" s="2278"/>
      <c r="U23" s="2829"/>
      <c r="V23" s="2844"/>
      <c r="W23" s="2279"/>
      <c r="X23" s="2829"/>
      <c r="Y23" s="2829"/>
      <c r="Z23" s="2276"/>
      <c r="AA23" s="2829"/>
      <c r="AB23" s="2844"/>
      <c r="AC23" s="2280"/>
      <c r="AD23" s="2829"/>
      <c r="AE23" s="2829"/>
      <c r="AF23" s="2205"/>
      <c r="AG23" s="2205"/>
      <c r="AH23" s="2281"/>
      <c r="AI23" s="1988"/>
      <c r="AJ23" s="2266"/>
      <c r="AK23" s="998" t="s">
        <v>99</v>
      </c>
      <c r="BM23" s="985">
        <v>14</v>
      </c>
    </row>
    <row customHeight="1" ht="14.699999999999998">
      <c r="D24" s="2875"/>
      <c r="E24" s="2871"/>
      <c r="F24" s="2871"/>
      <c r="G24" s="2878"/>
      <c r="H24" s="2292"/>
      <c r="I24" s="2874"/>
      <c r="J24" s="2845"/>
      <c r="K24" s="2302"/>
      <c r="L24" s="2830"/>
      <c r="M24" s="2830"/>
      <c r="N24" s="2282"/>
      <c r="O24" s="2830"/>
      <c r="P24" s="2845"/>
      <c r="Q24" s="2283"/>
      <c r="R24" s="2830"/>
      <c r="S24" s="2830"/>
      <c r="T24" s="2284"/>
      <c r="U24" s="2830"/>
      <c r="V24" s="2845"/>
      <c r="W24" s="2285"/>
      <c r="X24" s="2830"/>
      <c r="Y24" s="2830"/>
      <c r="Z24" s="2282"/>
      <c r="AA24" s="2830"/>
      <c r="AB24" s="2845"/>
      <c r="AC24" s="2286"/>
      <c r="AD24" s="2830"/>
      <c r="AE24" s="2830"/>
      <c r="AF24" s="2287"/>
      <c r="AG24" s="2287"/>
      <c r="AH24" s="2869"/>
      <c r="AI24" s="2870"/>
      <c r="AJ24" s="2266"/>
      <c r="BM24" s="985">
        <v>14</v>
      </c>
    </row>
    <row customHeight="1" ht="14.699999999999998">
      <c r="D25" s="2875"/>
      <c r="E25" s="2871"/>
      <c r="F25" s="2871"/>
      <c r="G25" s="2878"/>
      <c r="H25" s="2292"/>
      <c r="I25" s="2874"/>
      <c r="J25" s="2845"/>
      <c r="K25" s="2302"/>
      <c r="L25" s="2830"/>
      <c r="M25" s="2830"/>
      <c r="N25" s="2282"/>
      <c r="O25" s="2830"/>
      <c r="P25" s="2845"/>
      <c r="Q25" s="2283"/>
      <c r="R25" s="2830"/>
      <c r="S25" s="2830"/>
      <c r="T25" s="2284"/>
      <c r="U25" s="2830"/>
      <c r="V25" s="2845"/>
      <c r="W25" s="2285"/>
      <c r="X25" s="2830"/>
      <c r="Y25" s="2830"/>
      <c r="Z25" s="2204"/>
      <c r="AA25" s="2287"/>
      <c r="AB25" s="2869"/>
      <c r="AC25" s="2869"/>
      <c r="AD25" s="2869"/>
      <c r="AE25" s="2869"/>
      <c r="AF25" s="2869"/>
      <c r="AG25" s="2869"/>
      <c r="AH25" s="2869"/>
      <c r="AI25" s="2870"/>
      <c r="AJ25" s="2266"/>
      <c r="BM25" s="985">
        <v>14</v>
      </c>
    </row>
    <row customHeight="1" ht="14.699999999999998">
      <c r="D26" s="2875"/>
      <c r="E26" s="2871"/>
      <c r="F26" s="2871"/>
      <c r="G26" s="2878"/>
      <c r="H26" s="2292"/>
      <c r="I26" s="2874"/>
      <c r="J26" s="2845"/>
      <c r="K26" s="2302"/>
      <c r="L26" s="2830"/>
      <c r="M26" s="2830"/>
      <c r="N26" s="2282"/>
      <c r="O26" s="2830"/>
      <c r="P26" s="2845"/>
      <c r="Q26" s="2283"/>
      <c r="R26" s="2830"/>
      <c r="S26" s="2830"/>
      <c r="T26" s="2288"/>
      <c r="U26" s="2289"/>
      <c r="V26" s="2869"/>
      <c r="W26" s="2869"/>
      <c r="X26" s="2869"/>
      <c r="Y26" s="2869"/>
      <c r="Z26" s="2869"/>
      <c r="AA26" s="2869"/>
      <c r="AB26" s="2869"/>
      <c r="AC26" s="2869"/>
      <c r="AD26" s="2869"/>
      <c r="AE26" s="2869"/>
      <c r="AF26" s="2869"/>
      <c r="AG26" s="2869"/>
      <c r="AH26" s="2869"/>
      <c r="AI26" s="2870"/>
      <c r="AJ26" s="2266"/>
      <c r="BM26" s="985">
        <v>14</v>
      </c>
    </row>
    <row customHeight="1" ht="11.549999999999999">
      <c r="D27" s="2875"/>
      <c r="E27" s="2871"/>
      <c r="F27" s="2871"/>
      <c r="G27" s="2878"/>
      <c r="H27" s="2293"/>
      <c r="I27" s="2874"/>
      <c r="J27" s="2845"/>
      <c r="K27" s="2302"/>
      <c r="L27" s="2830"/>
      <c r="M27" s="2830"/>
      <c r="N27" s="2287"/>
      <c r="O27" s="2287"/>
      <c r="P27" s="2869"/>
      <c r="Q27" s="2869"/>
      <c r="R27" s="2869"/>
      <c r="S27" s="2869"/>
      <c r="T27" s="2869"/>
      <c r="U27" s="2869"/>
      <c r="V27" s="2869"/>
      <c r="W27" s="2869"/>
      <c r="X27" s="2869"/>
      <c r="Y27" s="2869"/>
      <c r="Z27" s="2869"/>
      <c r="AA27" s="2869"/>
      <c r="AB27" s="2869"/>
      <c r="AC27" s="2869"/>
      <c r="AD27" s="2869"/>
      <c r="AE27" s="2869"/>
      <c r="AF27" s="2869"/>
      <c r="AG27" s="2869"/>
      <c r="AH27" s="2869"/>
      <c r="AI27" s="2870"/>
      <c r="AJ27" s="2266"/>
      <c r="BM27" s="985">
        <v>11</v>
      </c>
    </row>
    <row s="58049" customFormat="1" customHeight="1" ht="11.549999999999999">
      <c r="D28" s="2881"/>
      <c r="E28" s="2882"/>
      <c r="F28" s="2872"/>
      <c r="G28" s="2804"/>
      <c r="H28" s="2290"/>
      <c r="I28" s="2294"/>
      <c r="J28" s="2879"/>
      <c r="K28" s="2879"/>
      <c r="L28" s="2879"/>
      <c r="M28" s="2879"/>
      <c r="N28" s="2879"/>
      <c r="O28" s="2879"/>
      <c r="P28" s="2879"/>
      <c r="Q28" s="2879"/>
      <c r="R28" s="2879"/>
      <c r="S28" s="2879"/>
      <c r="T28" s="2879"/>
      <c r="U28" s="2879"/>
      <c r="V28" s="2879"/>
      <c r="W28" s="2879"/>
      <c r="X28" s="2879"/>
      <c r="Y28" s="2879"/>
      <c r="Z28" s="2879"/>
      <c r="AA28" s="2879"/>
      <c r="AB28" s="2879"/>
      <c r="AC28" s="2879"/>
      <c r="AD28" s="2879"/>
      <c r="AE28" s="2879"/>
      <c r="AF28" s="2879"/>
      <c r="AG28" s="2879"/>
      <c r="AH28" s="2879"/>
      <c r="AI28" s="2880"/>
      <c r="AJ28" s="2266"/>
      <c r="AK28" s="998"/>
      <c r="AL28" s="2266"/>
      <c r="AM28" s="2266"/>
      <c r="AN28" s="2266"/>
      <c r="AO28" s="2266"/>
      <c r="AP28" s="2266"/>
      <c r="AQ28" s="2266"/>
      <c r="AR28" s="2266"/>
      <c r="AS28" s="2266"/>
      <c r="AT28" s="2266"/>
      <c r="AU28" s="2266"/>
      <c r="AV28" s="2266"/>
      <c r="AW28" s="2266"/>
      <c r="AX28" s="2266"/>
      <c r="AY28" s="2266"/>
      <c r="AZ28" s="2266"/>
      <c r="BA28" s="2266"/>
      <c r="BB28" s="2266"/>
      <c r="BC28" s="2266"/>
      <c r="BD28" s="2266"/>
      <c r="BE28" s="2266"/>
      <c r="BF28" s="2266"/>
      <c r="BG28" s="2266"/>
      <c r="BH28" s="2266"/>
      <c r="BI28" s="2266"/>
      <c r="BJ28" s="2266"/>
      <c r="BK28" s="2266"/>
      <c r="BL28" s="2266"/>
      <c r="BM28" s="2246">
        <v>11</v>
      </c>
    </row>
    <row customHeight="1" ht="15">
      <c r="D29" s="2875" t="s">
        <v>92</v>
      </c>
      <c r="E29" s="2871" t="s">
        <v>368</v>
      </c>
      <c r="F29" s="2871" t="s">
        <v>372</v>
      </c>
      <c r="G29" s="2877" t="s">
        <v>19</v>
      </c>
      <c r="H29" s="2291"/>
      <c r="I29" s="2873"/>
      <c r="J29" s="2844"/>
      <c r="K29" s="2206"/>
      <c r="L29" s="2829"/>
      <c r="M29" s="2829"/>
      <c r="N29" s="2276"/>
      <c r="O29" s="2829"/>
      <c r="P29" s="2844"/>
      <c r="Q29" s="2277"/>
      <c r="R29" s="2829"/>
      <c r="S29" s="2829"/>
      <c r="T29" s="2278"/>
      <c r="U29" s="2829"/>
      <c r="V29" s="2844"/>
      <c r="W29" s="2279"/>
      <c r="X29" s="2829"/>
      <c r="Y29" s="2829"/>
      <c r="Z29" s="2276"/>
      <c r="AA29" s="2829"/>
      <c r="AB29" s="2844"/>
      <c r="AC29" s="2280"/>
      <c r="AD29" s="2829"/>
      <c r="AE29" s="2829"/>
      <c r="AF29" s="2205"/>
      <c r="AG29" s="2205"/>
      <c r="AH29" s="2281"/>
      <c r="AI29" s="1988"/>
      <c r="AJ29" s="2266"/>
      <c r="BM29" s="985">
        <v>14</v>
      </c>
    </row>
    <row customHeight="1" ht="14.699999999999998">
      <c r="D30" s="2875"/>
      <c r="E30" s="2871"/>
      <c r="F30" s="2871"/>
      <c r="G30" s="2878"/>
      <c r="H30" s="2292"/>
      <c r="I30" s="2874"/>
      <c r="J30" s="2845"/>
      <c r="K30" s="2275"/>
      <c r="L30" s="2830"/>
      <c r="M30" s="2830"/>
      <c r="N30" s="2282"/>
      <c r="O30" s="2830"/>
      <c r="P30" s="2845"/>
      <c r="Q30" s="2283"/>
      <c r="R30" s="2830"/>
      <c r="S30" s="2830"/>
      <c r="T30" s="2284"/>
      <c r="U30" s="2830"/>
      <c r="V30" s="2845"/>
      <c r="W30" s="2285"/>
      <c r="X30" s="2830"/>
      <c r="Y30" s="2830"/>
      <c r="Z30" s="2282"/>
      <c r="AA30" s="2830"/>
      <c r="AB30" s="2845"/>
      <c r="AC30" s="2286"/>
      <c r="AD30" s="2830"/>
      <c r="AE30" s="2830"/>
      <c r="AF30" s="2287"/>
      <c r="AG30" s="2287"/>
      <c r="AH30" s="2869"/>
      <c r="AI30" s="2870"/>
      <c r="AJ30" s="2266"/>
      <c r="BM30" s="985">
        <v>14</v>
      </c>
    </row>
    <row customHeight="1" ht="14.699999999999998">
      <c r="D31" s="2875"/>
      <c r="E31" s="2871"/>
      <c r="F31" s="2871"/>
      <c r="G31" s="2878"/>
      <c r="H31" s="2292"/>
      <c r="I31" s="2874"/>
      <c r="J31" s="2845"/>
      <c r="K31" s="2275"/>
      <c r="L31" s="2830"/>
      <c r="M31" s="2830"/>
      <c r="N31" s="2282"/>
      <c r="O31" s="2830"/>
      <c r="P31" s="2845"/>
      <c r="Q31" s="2283"/>
      <c r="R31" s="2830"/>
      <c r="S31" s="2830"/>
      <c r="T31" s="2284"/>
      <c r="U31" s="2830"/>
      <c r="V31" s="2845"/>
      <c r="W31" s="2285"/>
      <c r="X31" s="2830"/>
      <c r="Y31" s="2830"/>
      <c r="Z31" s="2204"/>
      <c r="AA31" s="2287"/>
      <c r="AB31" s="2869"/>
      <c r="AC31" s="2869"/>
      <c r="AD31" s="2869"/>
      <c r="AE31" s="2869"/>
      <c r="AF31" s="2869"/>
      <c r="AG31" s="2869"/>
      <c r="AH31" s="2869"/>
      <c r="AI31" s="2870"/>
      <c r="AJ31" s="2266"/>
      <c r="BM31" s="985">
        <v>14</v>
      </c>
    </row>
    <row customHeight="1" ht="14.699999999999998">
      <c r="D32" s="2875"/>
      <c r="E32" s="2871"/>
      <c r="F32" s="2871"/>
      <c r="G32" s="2878"/>
      <c r="H32" s="2292"/>
      <c r="I32" s="2874"/>
      <c r="J32" s="2845"/>
      <c r="K32" s="2275"/>
      <c r="L32" s="2830"/>
      <c r="M32" s="2830"/>
      <c r="N32" s="2282"/>
      <c r="O32" s="2830"/>
      <c r="P32" s="2845"/>
      <c r="Q32" s="2283"/>
      <c r="R32" s="2830"/>
      <c r="S32" s="2830"/>
      <c r="T32" s="2288"/>
      <c r="U32" s="2289"/>
      <c r="V32" s="2869"/>
      <c r="W32" s="2869"/>
      <c r="X32" s="2869"/>
      <c r="Y32" s="2869"/>
      <c r="Z32" s="2869"/>
      <c r="AA32" s="2869"/>
      <c r="AB32" s="2869"/>
      <c r="AC32" s="2869"/>
      <c r="AD32" s="2869"/>
      <c r="AE32" s="2869"/>
      <c r="AF32" s="2869"/>
      <c r="AG32" s="2869"/>
      <c r="AH32" s="2869"/>
      <c r="AI32" s="2870"/>
      <c r="AJ32" s="2266"/>
      <c r="BM32" s="985">
        <v>14</v>
      </c>
    </row>
    <row customHeight="1" ht="11.549999999999999">
      <c r="D33" s="2875"/>
      <c r="E33" s="2871"/>
      <c r="F33" s="2871"/>
      <c r="G33" s="2878"/>
      <c r="H33" s="2293"/>
      <c r="I33" s="2874"/>
      <c r="J33" s="2845"/>
      <c r="K33" s="2275"/>
      <c r="L33" s="2830"/>
      <c r="M33" s="2830"/>
      <c r="N33" s="2287"/>
      <c r="O33" s="2287"/>
      <c r="P33" s="2869"/>
      <c r="Q33" s="2869"/>
      <c r="R33" s="2869"/>
      <c r="S33" s="2869"/>
      <c r="T33" s="2869"/>
      <c r="U33" s="2869"/>
      <c r="V33" s="2869"/>
      <c r="W33" s="2869"/>
      <c r="X33" s="2869"/>
      <c r="Y33" s="2869"/>
      <c r="Z33" s="2869"/>
      <c r="AA33" s="2869"/>
      <c r="AB33" s="2869"/>
      <c r="AC33" s="2869"/>
      <c r="AD33" s="2869"/>
      <c r="AE33" s="2869"/>
      <c r="AF33" s="2869"/>
      <c r="AG33" s="2869"/>
      <c r="AH33" s="2869"/>
      <c r="AI33" s="2870"/>
      <c r="AJ33" s="2266"/>
      <c r="BM33" s="985">
        <v>11</v>
      </c>
    </row>
    <row s="58049" customFormat="1" customHeight="1" ht="11.549999999999999">
      <c r="D34" s="2881"/>
      <c r="E34" s="2882"/>
      <c r="F34" s="2872"/>
      <c r="G34" s="2804"/>
      <c r="H34" s="2290"/>
      <c r="I34" s="2294"/>
      <c r="J34" s="2879"/>
      <c r="K34" s="2879"/>
      <c r="L34" s="2879"/>
      <c r="M34" s="2879"/>
      <c r="N34" s="2879"/>
      <c r="O34" s="2879"/>
      <c r="P34" s="2879"/>
      <c r="Q34" s="2879"/>
      <c r="R34" s="2879"/>
      <c r="S34" s="2879"/>
      <c r="T34" s="2879"/>
      <c r="U34" s="2879"/>
      <c r="V34" s="2879"/>
      <c r="W34" s="2879"/>
      <c r="X34" s="2879"/>
      <c r="Y34" s="2879"/>
      <c r="Z34" s="2879"/>
      <c r="AA34" s="2879"/>
      <c r="AB34" s="2879"/>
      <c r="AC34" s="2879"/>
      <c r="AD34" s="2879"/>
      <c r="AE34" s="2879"/>
      <c r="AF34" s="2879"/>
      <c r="AG34" s="2879"/>
      <c r="AH34" s="2879"/>
      <c r="AI34" s="2880"/>
      <c r="AJ34" s="2266"/>
      <c r="AK34" s="998"/>
      <c r="AL34" s="2266"/>
      <c r="AM34" s="2266"/>
      <c r="AN34" s="2266"/>
      <c r="AO34" s="2266"/>
      <c r="AP34" s="2266"/>
      <c r="AQ34" s="2266"/>
      <c r="AR34" s="2266"/>
      <c r="AS34" s="2266"/>
      <c r="AT34" s="2266"/>
      <c r="AU34" s="2266"/>
      <c r="AV34" s="2266"/>
      <c r="AW34" s="2266"/>
      <c r="AX34" s="2266"/>
      <c r="AY34" s="2266"/>
      <c r="AZ34" s="2266"/>
      <c r="BA34" s="2266"/>
      <c r="BB34" s="2266"/>
      <c r="BC34" s="2266"/>
      <c r="BD34" s="2266"/>
      <c r="BE34" s="2266"/>
      <c r="BF34" s="2266"/>
      <c r="BG34" s="2266"/>
      <c r="BH34" s="2266"/>
      <c r="BI34" s="2266"/>
      <c r="BJ34" s="2266"/>
      <c r="BK34" s="2266"/>
      <c r="BL34" s="2266"/>
      <c r="BM34" s="2246">
        <v>11</v>
      </c>
    </row>
    <row customHeight="1" ht="15">
      <c r="D35" s="2875" t="s">
        <v>119</v>
      </c>
      <c r="E35" s="2871" t="s">
        <v>368</v>
      </c>
      <c r="F35" s="2871" t="s">
        <v>373</v>
      </c>
      <c r="G35" s="2877" t="s">
        <v>19</v>
      </c>
      <c r="H35" s="2291"/>
      <c r="I35" s="2873"/>
      <c r="J35" s="2844"/>
      <c r="K35" s="2206"/>
      <c r="L35" s="2829"/>
      <c r="M35" s="2829"/>
      <c r="N35" s="2276"/>
      <c r="O35" s="2829"/>
      <c r="P35" s="2844"/>
      <c r="Q35" s="2277"/>
      <c r="R35" s="2829"/>
      <c r="S35" s="2829"/>
      <c r="T35" s="2278"/>
      <c r="U35" s="2829"/>
      <c r="V35" s="2844"/>
      <c r="W35" s="2279"/>
      <c r="X35" s="2829"/>
      <c r="Y35" s="2829"/>
      <c r="Z35" s="2276"/>
      <c r="AA35" s="2829"/>
      <c r="AB35" s="2844"/>
      <c r="AC35" s="2280"/>
      <c r="AD35" s="2829"/>
      <c r="AE35" s="2829"/>
      <c r="AF35" s="2205"/>
      <c r="AG35" s="2205"/>
      <c r="AH35" s="2281"/>
      <c r="AI35" s="1988"/>
      <c r="AJ35" s="2266"/>
      <c r="BM35" s="985">
        <v>14</v>
      </c>
    </row>
    <row customHeight="1" ht="14.699999999999998">
      <c r="D36" s="2875"/>
      <c r="E36" s="2871"/>
      <c r="F36" s="2871"/>
      <c r="G36" s="2878"/>
      <c r="H36" s="2292"/>
      <c r="I36" s="2874"/>
      <c r="J36" s="2845"/>
      <c r="K36" s="2275"/>
      <c r="L36" s="2830"/>
      <c r="M36" s="2830"/>
      <c r="N36" s="2282"/>
      <c r="O36" s="2830"/>
      <c r="P36" s="2845"/>
      <c r="Q36" s="2283"/>
      <c r="R36" s="2830"/>
      <c r="S36" s="2830"/>
      <c r="T36" s="2284"/>
      <c r="U36" s="2830"/>
      <c r="V36" s="2845"/>
      <c r="W36" s="2285"/>
      <c r="X36" s="2830"/>
      <c r="Y36" s="2830"/>
      <c r="Z36" s="2282"/>
      <c r="AA36" s="2830"/>
      <c r="AB36" s="2845"/>
      <c r="AC36" s="2286"/>
      <c r="AD36" s="2830"/>
      <c r="AE36" s="2830"/>
      <c r="AF36" s="2287"/>
      <c r="AG36" s="2287"/>
      <c r="AH36" s="2869"/>
      <c r="AI36" s="2870"/>
      <c r="AJ36" s="2266"/>
      <c r="BM36" s="985">
        <v>14</v>
      </c>
    </row>
    <row customHeight="1" ht="14.699999999999998">
      <c r="D37" s="2875"/>
      <c r="E37" s="2871"/>
      <c r="F37" s="2871"/>
      <c r="G37" s="2878"/>
      <c r="H37" s="2292"/>
      <c r="I37" s="2874"/>
      <c r="J37" s="2845"/>
      <c r="K37" s="2275"/>
      <c r="L37" s="2830"/>
      <c r="M37" s="2830"/>
      <c r="N37" s="2282"/>
      <c r="O37" s="2830"/>
      <c r="P37" s="2845"/>
      <c r="Q37" s="2283"/>
      <c r="R37" s="2830"/>
      <c r="S37" s="2830"/>
      <c r="T37" s="2284"/>
      <c r="U37" s="2830"/>
      <c r="V37" s="2845"/>
      <c r="W37" s="2285"/>
      <c r="X37" s="2830"/>
      <c r="Y37" s="2830"/>
      <c r="Z37" s="2204"/>
      <c r="AA37" s="2287"/>
      <c r="AB37" s="2869"/>
      <c r="AC37" s="2869"/>
      <c r="AD37" s="2869"/>
      <c r="AE37" s="2869"/>
      <c r="AF37" s="2869"/>
      <c r="AG37" s="2869"/>
      <c r="AH37" s="2869"/>
      <c r="AI37" s="2870"/>
      <c r="AJ37" s="2266"/>
      <c r="BM37" s="985">
        <v>14</v>
      </c>
    </row>
    <row customHeight="1" ht="14.699999999999998">
      <c r="D38" s="2875"/>
      <c r="E38" s="2871"/>
      <c r="F38" s="2871"/>
      <c r="G38" s="2878"/>
      <c r="H38" s="2292"/>
      <c r="I38" s="2874"/>
      <c r="J38" s="2845"/>
      <c r="K38" s="2275"/>
      <c r="L38" s="2830"/>
      <c r="M38" s="2830"/>
      <c r="N38" s="2282"/>
      <c r="O38" s="2830"/>
      <c r="P38" s="2845"/>
      <c r="Q38" s="2283"/>
      <c r="R38" s="2830"/>
      <c r="S38" s="2830"/>
      <c r="T38" s="2288"/>
      <c r="U38" s="2289"/>
      <c r="V38" s="2869"/>
      <c r="W38" s="2869"/>
      <c r="X38" s="2869"/>
      <c r="Y38" s="2869"/>
      <c r="Z38" s="2869"/>
      <c r="AA38" s="2869"/>
      <c r="AB38" s="2869"/>
      <c r="AC38" s="2869"/>
      <c r="AD38" s="2869"/>
      <c r="AE38" s="2869"/>
      <c r="AF38" s="2869"/>
      <c r="AG38" s="2869"/>
      <c r="AH38" s="2869"/>
      <c r="AI38" s="2870"/>
      <c r="AJ38" s="2266"/>
      <c r="BM38" s="985">
        <v>14</v>
      </c>
    </row>
    <row customHeight="1" ht="11.549999999999999">
      <c r="D39" s="2875"/>
      <c r="E39" s="2871"/>
      <c r="F39" s="2871"/>
      <c r="G39" s="2878"/>
      <c r="H39" s="2293"/>
      <c r="I39" s="2874"/>
      <c r="J39" s="2845"/>
      <c r="K39" s="2275"/>
      <c r="L39" s="2830"/>
      <c r="M39" s="2830"/>
      <c r="N39" s="2287"/>
      <c r="O39" s="2287"/>
      <c r="P39" s="2869"/>
      <c r="Q39" s="2869"/>
      <c r="R39" s="2869"/>
      <c r="S39" s="2869"/>
      <c r="T39" s="2869"/>
      <c r="U39" s="2869"/>
      <c r="V39" s="2869"/>
      <c r="W39" s="2869"/>
      <c r="X39" s="2869"/>
      <c r="Y39" s="2869"/>
      <c r="Z39" s="2869"/>
      <c r="AA39" s="2869"/>
      <c r="AB39" s="2869"/>
      <c r="AC39" s="2869"/>
      <c r="AD39" s="2869"/>
      <c r="AE39" s="2869"/>
      <c r="AF39" s="2869"/>
      <c r="AG39" s="2869"/>
      <c r="AH39" s="2869"/>
      <c r="AI39" s="2870"/>
      <c r="AJ39" s="2266"/>
      <c r="BM39" s="985">
        <v>11</v>
      </c>
    </row>
    <row s="58049" customFormat="1" customHeight="1" ht="11.549999999999999">
      <c r="D40" s="2875"/>
      <c r="E40" s="2871"/>
      <c r="F40" s="2876"/>
      <c r="G40" s="2804"/>
      <c r="H40" s="2290"/>
      <c r="I40" s="2294"/>
      <c r="J40" s="2879"/>
      <c r="K40" s="2879"/>
      <c r="L40" s="2879"/>
      <c r="M40" s="2879"/>
      <c r="N40" s="2879"/>
      <c r="O40" s="2879"/>
      <c r="P40" s="2879"/>
      <c r="Q40" s="2879"/>
      <c r="R40" s="2879"/>
      <c r="S40" s="2879"/>
      <c r="T40" s="2879"/>
      <c r="U40" s="2879"/>
      <c r="V40" s="2879"/>
      <c r="W40" s="2879"/>
      <c r="X40" s="2879"/>
      <c r="Y40" s="2879"/>
      <c r="Z40" s="2879"/>
      <c r="AA40" s="2879"/>
      <c r="AB40" s="2879"/>
      <c r="AC40" s="2879"/>
      <c r="AD40" s="2879"/>
      <c r="AE40" s="2879"/>
      <c r="AF40" s="2879"/>
      <c r="AG40" s="2879"/>
      <c r="AH40" s="2879"/>
      <c r="AI40" s="2880"/>
      <c r="AJ40" s="2266"/>
      <c r="AK40" s="998"/>
      <c r="AL40" s="2266"/>
      <c r="AM40" s="2266"/>
      <c r="AN40" s="2266"/>
      <c r="AO40" s="2266"/>
      <c r="AP40" s="2266"/>
      <c r="AQ40" s="2266"/>
      <c r="AR40" s="2266"/>
      <c r="AS40" s="2266"/>
      <c r="AT40" s="2266"/>
      <c r="AU40" s="2266"/>
      <c r="AV40" s="2266"/>
      <c r="AW40" s="2266"/>
      <c r="AX40" s="2266"/>
      <c r="AY40" s="2266"/>
      <c r="AZ40" s="2266"/>
      <c r="BA40" s="2266"/>
      <c r="BB40" s="2266"/>
      <c r="BC40" s="2266"/>
      <c r="BD40" s="2266"/>
      <c r="BE40" s="2266"/>
      <c r="BF40" s="2266"/>
      <c r="BG40" s="2266"/>
      <c r="BH40" s="2266"/>
      <c r="BI40" s="2266"/>
      <c r="BJ40" s="2266"/>
      <c r="BK40" s="2266"/>
      <c r="BL40" s="2266"/>
      <c r="BM40" s="2246">
        <v>11</v>
      </c>
    </row>
    <row customHeight="1" ht="11.549999999999999">
      <c r="AK41" s="1115"/>
      <c r="BM41" s="985">
        <v>11</v>
      </c>
    </row>
    <row customHeight="1" ht="11.549999999999999">
      <c r="AK42" s="1115"/>
      <c r="BM42" s="985">
        <v>11</v>
      </c>
    </row>
    <row customHeight="1" ht="11.549999999999999">
      <c r="AK43" s="1115"/>
      <c r="BM43" s="985">
        <v>11</v>
      </c>
    </row>
    <row customHeight="1" ht="11.549999999999999">
      <c r="AK44" s="1115"/>
      <c r="BM44" s="985">
        <v>11</v>
      </c>
    </row>
    <row customHeight="1" ht="11.549999999999999">
      <c r="AK45" s="1115"/>
      <c r="BM45" s="985">
        <v>11</v>
      </c>
    </row>
    <row customHeight="1" ht="11.549999999999999">
      <c r="AK46" s="1115"/>
      <c r="BM46" s="985">
        <v>11</v>
      </c>
    </row>
    <row customHeight="1" ht="11.549999999999999">
      <c r="AK47" s="1115"/>
      <c r="BM47" s="985">
        <v>11</v>
      </c>
    </row>
    <row customHeight="1" ht="11.549999999999999">
      <c r="AK48" s="1115"/>
      <c r="BM48" s="985">
        <v>11</v>
      </c>
    </row>
    <row customHeight="1" ht="11.549999999999999">
      <c r="AK49" s="1115"/>
      <c r="BM49" s="985">
        <v>11</v>
      </c>
    </row>
    <row customHeight="1" ht="11.25" hidden="1">
      <c r="A50" s="985" t="s">
        <v>83</v>
      </c>
      <c r="B50" s="985">
        <v>0</v>
      </c>
      <c r="C50" s="985">
        <v>3</v>
      </c>
      <c r="D50" s="985">
        <v>3</v>
      </c>
      <c r="E50" s="985">
        <v>15</v>
      </c>
      <c r="F50" s="985">
        <v>15</v>
      </c>
      <c r="G50" s="985">
        <v>11</v>
      </c>
      <c r="H50" s="985">
        <v>3</v>
      </c>
      <c r="I50" s="985">
        <v>3</v>
      </c>
      <c r="J50" s="985">
        <v>12</v>
      </c>
      <c r="K50" s="985">
        <v>0</v>
      </c>
      <c r="L50" s="985">
        <v>10</v>
      </c>
      <c r="M50" s="985">
        <v>10</v>
      </c>
      <c r="N50" s="985">
        <v>3</v>
      </c>
      <c r="O50" s="985">
        <v>3</v>
      </c>
      <c r="P50" s="985">
        <v>19</v>
      </c>
      <c r="Q50" s="985">
        <v>0</v>
      </c>
      <c r="R50" s="985">
        <v>10</v>
      </c>
      <c r="S50" s="985">
        <v>10</v>
      </c>
      <c r="T50" s="985">
        <v>3</v>
      </c>
      <c r="U50" s="985">
        <v>3</v>
      </c>
      <c r="V50" s="985">
        <v>25</v>
      </c>
      <c r="W50" s="985">
        <v>0</v>
      </c>
      <c r="X50" s="985">
        <v>10</v>
      </c>
      <c r="Y50" s="985">
        <v>10</v>
      </c>
      <c r="Z50" s="985">
        <v>3</v>
      </c>
      <c r="AA50" s="985">
        <v>3</v>
      </c>
      <c r="AB50" s="985">
        <v>16</v>
      </c>
      <c r="AC50" s="985">
        <v>0</v>
      </c>
      <c r="AD50" s="985">
        <v>10</v>
      </c>
      <c r="AE50" s="985">
        <v>10</v>
      </c>
      <c r="AF50" s="985">
        <v>3</v>
      </c>
      <c r="AG50" s="985">
        <v>3</v>
      </c>
      <c r="AH50" s="985">
        <v>8</v>
      </c>
      <c r="AI50" s="985">
        <v>21</v>
      </c>
      <c r="AJ50" s="1115">
        <v>8</v>
      </c>
      <c r="AK50" s="998">
        <v>8</v>
      </c>
      <c r="AL50" s="1115">
        <v>8</v>
      </c>
      <c r="AM50" s="1115">
        <v>8</v>
      </c>
      <c r="AN50" s="1115">
        <v>8</v>
      </c>
      <c r="AO50" s="1115">
        <v>8</v>
      </c>
      <c r="AP50" s="1115">
        <v>8</v>
      </c>
      <c r="AQ50" s="1115">
        <v>8</v>
      </c>
      <c r="AR50" s="1115">
        <v>8</v>
      </c>
      <c r="AS50" s="1115">
        <v>8</v>
      </c>
      <c r="AT50" s="1115">
        <v>8</v>
      </c>
      <c r="AU50" s="1115">
        <v>8</v>
      </c>
      <c r="AV50" s="1115">
        <v>8</v>
      </c>
      <c r="AW50" s="1115">
        <v>8</v>
      </c>
      <c r="AX50" s="1115">
        <v>8</v>
      </c>
      <c r="AY50" s="1115">
        <v>8</v>
      </c>
      <c r="AZ50" s="1115">
        <v>8</v>
      </c>
      <c r="BA50" s="1115">
        <v>8</v>
      </c>
      <c r="BB50" s="1115">
        <v>8</v>
      </c>
      <c r="BC50" s="1115">
        <v>8</v>
      </c>
      <c r="BD50" s="1115">
        <v>8</v>
      </c>
      <c r="BE50" s="1115">
        <v>8</v>
      </c>
      <c r="BF50" s="1115">
        <v>8</v>
      </c>
      <c r="BG50" s="1115">
        <v>8</v>
      </c>
      <c r="BH50" s="1115">
        <v>8</v>
      </c>
      <c r="BI50" s="1115">
        <v>8</v>
      </c>
      <c r="BJ50" s="1115">
        <v>8</v>
      </c>
      <c r="BK50" s="1115">
        <v>8</v>
      </c>
      <c r="BL50" s="1115">
        <v>8</v>
      </c>
      <c r="BM50" s="985">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2A7F5C-4D6E-B3AA-BA68-CE8AE45D8B37}"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63225" width="1.7109375" customWidth="1"/>
    <col min="2" max="2" style="63225" width="34.57421875" customWidth="1"/>
    <col min="3" max="3" style="63225" width="85.00390625" customWidth="1"/>
    <col min="4" max="4" style="63225" width="17.00390625" customWidth="1"/>
    <col min="5" max="5" style="63225" width="8.00390625" customWidth="1"/>
    <col min="6" max="6" style="63225" width="9.140625" hidden="1"/>
  </cols>
  <sheetData>
    <row customHeight="1" ht="3">
      <c r="F1" s="781" t="s">
        <v>14</v>
      </c>
    </row>
    <row customHeight="1" ht="22.5">
      <c r="B2" s="3305" t="s">
        <v>1976</v>
      </c>
      <c r="C2" s="3192"/>
      <c r="D2" s="3192"/>
      <c r="E2" s="960"/>
      <c r="F2" s="781">
        <v>22</v>
      </c>
    </row>
    <row customHeight="1" ht="3">
      <c r="F3" s="781">
        <v>3</v>
      </c>
    </row>
    <row customHeight="1" ht="23.25">
      <c r="B4" s="3306" t="s">
        <v>1977</v>
      </c>
      <c r="C4" s="1075" t="s">
        <v>1978</v>
      </c>
      <c r="D4" s="1075" t="s">
        <v>1979</v>
      </c>
      <c r="F4" s="781">
        <v>22</v>
      </c>
    </row>
    <row customHeight="1" ht="11.25" hidden="1">
      <c r="A5" s="781" t="s">
        <v>83</v>
      </c>
      <c r="B5" s="781">
        <v>34</v>
      </c>
      <c r="C5" s="781">
        <v>85</v>
      </c>
      <c r="D5" s="781">
        <v>17</v>
      </c>
      <c r="E5" s="781">
        <v>8</v>
      </c>
      <c r="F5" s="781">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9F4B36-92B3-AD85-6D4B-596FB97FC0AD}"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63225" width="26.57421875" customWidth="1"/>
    <col min="2" max="2" style="63225" width="10.00390625" customWidth="1"/>
    <col min="3" max="3" style="63225" width="9.140625"/>
    <col min="4" max="4" style="63225" width="11.140625" customWidth="1"/>
    <col min="5" max="5" style="63225" width="16.57421875" customWidth="1"/>
    <col min="6" max="6" style="63225" width="16.28125" customWidth="1"/>
    <col min="7" max="7" style="63225" width="19.140625" customWidth="1"/>
    <col min="8" max="11" style="63225" width="10.00390625" customWidth="1"/>
    <col min="12" max="12" style="63225" width="12.7109375" customWidth="1"/>
    <col min="13" max="13" style="63225" width="61.28125" customWidth="1"/>
    <col min="14" max="14" style="63225" width="10.00390625" customWidth="1"/>
    <col min="15" max="17" style="63225" width="23.7109375" customWidth="1"/>
    <col min="18" max="18" style="63225" width="11.7109375" customWidth="1"/>
    <col min="19" max="19" style="63225" width="8.57421875" customWidth="1"/>
    <col min="20" max="20" style="63225" width="11.7109375" customWidth="1"/>
    <col min="21" max="21" style="63225" width="8.57421875" customWidth="1"/>
    <col min="22" max="22" style="63225" width="4.7109375" customWidth="1"/>
    <col min="23" max="23" style="63225" width="115.7109375" customWidth="1"/>
    <col min="24" max="24" style="63225" width="115.28125" customWidth="1"/>
    <col min="25" max="27" style="63225" width="9.140625"/>
    <col min="28" max="28" style="63225" width="115.7109375" customWidth="1"/>
    <col min="29" max="29" style="63225" width="9.140625"/>
    <col min="30" max="90" style="63225" width="115.7109375" customWidth="1"/>
    <col min="91" max="184" style="63225" width="9.140625"/>
  </cols>
  <sheetData>
    <row r="2" s="62813" customFormat="1" customHeight="1" ht="17.25">
      <c r="A2" s="2507" t="s">
        <v>1980</v>
      </c>
    </row>
    <row r="4" s="62802" customFormat="1" customHeight="1" ht="15">
      <c r="C4" s="2508"/>
      <c r="D4" s="805"/>
      <c r="E4" s="1069"/>
    </row>
    <row r="6" s="62813" customFormat="1" customHeight="1" ht="17.25">
      <c r="A6" s="2507" t="s">
        <v>1981</v>
      </c>
    </row>
    <row r="8" s="62802" customFormat="1" customHeight="1" ht="17.25">
      <c r="C8" s="2509"/>
      <c r="D8" s="805"/>
      <c r="E8" s="806"/>
    </row>
    <row r="11" s="62813" customFormat="1" customHeight="1" ht="17.25">
      <c r="A11" s="2507" t="s">
        <v>1982</v>
      </c>
    </row>
    <row r="13" s="58273" customFormat="1" customHeight="1" ht="15">
      <c r="A13" s="2909">
        <v>1</v>
      </c>
      <c r="B13" s="1852"/>
      <c r="C13" s="1493" t="s">
        <v>104</v>
      </c>
      <c r="D13" s="2510"/>
      <c r="E13" s="2497">
        <f>A13</f>
        <v>1</v>
      </c>
      <c r="F13" s="1496"/>
      <c r="G13" s="1232" t="str">
        <f>"Территория "&amp;E13</f>
        <v>Территория 1</v>
      </c>
      <c r="H13" s="1484"/>
      <c r="I13" s="1484"/>
      <c r="J13" s="1481"/>
      <c r="K13" s="2316"/>
      <c r="L13" s="2316"/>
      <c r="M13" s="2316"/>
      <c r="N13" s="918"/>
      <c r="O13" s="2316"/>
      <c r="P13" s="917"/>
      <c r="Q13" s="917"/>
      <c r="R13" s="917"/>
      <c r="S13" s="917"/>
    </row>
    <row s="63225" customFormat="1" customHeight="1" ht="15">
      <c r="A14" s="2909"/>
      <c r="B14" s="1852">
        <v>1</v>
      </c>
      <c r="C14" s="1852"/>
      <c r="D14" s="1492"/>
      <c r="E14" s="2505" t="str">
        <f>A13&amp;"."&amp;B14</f>
        <v>1.1</v>
      </c>
      <c r="F14" s="1495">
        <f>$F$20</f>
        <v>0</v>
      </c>
      <c r="G14" s="1485"/>
      <c r="H14" s="1485"/>
      <c r="I14" s="1483"/>
      <c r="J14" s="2316"/>
      <c r="K14" s="2328"/>
      <c r="L14" s="2328"/>
      <c r="M14" s="2316" t="str">
        <f t="array" ref="M14:M14">IF(ISERROR(MATCH(MID(N14,1,250),MID(note_ter,1,250),0)),"n","y")</f>
        <v>n</v>
      </c>
      <c r="N14" s="2328"/>
      <c r="O14" s="2316" t="str">
        <f>H14&amp;"("&amp;I14&amp;")"</f>
        <v>()</v>
      </c>
      <c r="P14" s="1852"/>
      <c r="Q14" s="1852"/>
      <c r="R14" s="1112"/>
      <c r="S14" s="1852"/>
      <c r="T14" s="1852"/>
      <c r="U14" s="1852"/>
      <c r="V14" s="1114"/>
      <c r="W14" s="1114"/>
      <c r="X14" s="1111"/>
      <c r="Y14" s="1111"/>
      <c r="Z14" s="1111"/>
      <c r="AA14" s="1111"/>
      <c r="AB14" s="1111"/>
      <c r="AC14" s="1111"/>
      <c r="AD14" s="1111"/>
      <c r="AE14" s="1111"/>
      <c r="AF14" s="1111"/>
      <c r="AG14" s="1111"/>
      <c r="AH14" s="1111"/>
      <c r="AI14" s="1111"/>
      <c r="AJ14" s="1111"/>
      <c r="AK14" s="1111"/>
      <c r="AL14" s="1111"/>
      <c r="AM14" s="1111"/>
      <c r="AN14" s="1111"/>
      <c r="AO14" s="1111"/>
      <c r="AP14" s="1111"/>
      <c r="AQ14" s="1111"/>
      <c r="AR14" s="1111"/>
      <c r="AS14" s="1111"/>
      <c r="AT14" s="1111"/>
      <c r="AU14" s="1111"/>
      <c r="AV14" s="1111"/>
      <c r="AW14" s="1111"/>
      <c r="AX14" s="1111"/>
      <c r="AY14" s="1111"/>
      <c r="AZ14" s="1111"/>
      <c r="BA14" s="1111"/>
      <c r="BB14" s="1111"/>
      <c r="BC14" s="1111"/>
      <c r="BD14" s="1111"/>
      <c r="BE14" s="1111"/>
      <c r="BF14" s="1111"/>
      <c r="BG14" s="1111"/>
      <c r="BH14" s="1111"/>
      <c r="BI14" s="1111"/>
      <c r="BJ14" s="1111"/>
      <c r="BK14" s="1111"/>
      <c r="BL14" s="1111"/>
      <c r="BM14" s="1111"/>
      <c r="BN14" s="1111"/>
      <c r="BO14" s="1111"/>
      <c r="BP14" s="1111"/>
      <c r="BQ14" s="1111"/>
      <c r="BR14" s="1111"/>
      <c r="BS14" s="1114"/>
      <c r="BT14" s="1114"/>
      <c r="BU14" s="1114"/>
      <c r="BV14" s="1114"/>
      <c r="BW14" s="1114"/>
      <c r="BX14" s="1114"/>
      <c r="BY14" s="1114"/>
      <c r="BZ14" s="1114"/>
      <c r="CA14" s="1114"/>
      <c r="CB14" s="1114"/>
    </row>
    <row s="63225" customFormat="1" customHeight="1" ht="15">
      <c r="A15" s="2909"/>
      <c r="B15" s="1852"/>
      <c r="C15" s="1104"/>
      <c r="D15" s="1493"/>
      <c r="E15" s="1113"/>
      <c r="F15" s="869"/>
      <c r="G15" s="1107" t="s">
        <v>102</v>
      </c>
      <c r="H15" s="879"/>
      <c r="I15" s="1116"/>
      <c r="J15" s="2328"/>
      <c r="K15" s="2328"/>
      <c r="L15" s="2328"/>
      <c r="M15" s="2328"/>
      <c r="N15" s="2316"/>
      <c r="O15" s="2328"/>
      <c r="P15" s="1852"/>
      <c r="Q15" s="1852"/>
      <c r="R15" s="1112"/>
      <c r="S15" s="1852"/>
      <c r="T15" s="1852"/>
      <c r="U15" s="1852"/>
      <c r="V15" s="1114"/>
      <c r="W15" s="1114"/>
      <c r="X15" s="1111"/>
      <c r="Y15" s="1111"/>
      <c r="Z15" s="1111"/>
      <c r="AA15" s="1111"/>
      <c r="AB15" s="1111"/>
      <c r="AC15" s="1111"/>
      <c r="AD15" s="1111"/>
      <c r="AE15" s="1111"/>
      <c r="AF15" s="1111"/>
      <c r="AG15" s="1111"/>
      <c r="AH15" s="1111"/>
      <c r="AI15" s="1111"/>
      <c r="AJ15" s="1111"/>
      <c r="AK15" s="1111"/>
      <c r="AL15" s="1111"/>
      <c r="AM15" s="1111"/>
      <c r="AN15" s="1111"/>
      <c r="AO15" s="1111"/>
      <c r="AP15" s="1111"/>
      <c r="AQ15" s="1111"/>
      <c r="AR15" s="1111"/>
      <c r="AS15" s="1111"/>
      <c r="AT15" s="1111"/>
      <c r="AU15" s="1111"/>
      <c r="AV15" s="1111"/>
      <c r="AW15" s="1111"/>
      <c r="AX15" s="1111"/>
      <c r="AY15" s="1111"/>
      <c r="AZ15" s="1111"/>
      <c r="BA15" s="1111"/>
      <c r="BB15" s="1111"/>
      <c r="BC15" s="1111"/>
      <c r="BD15" s="1111"/>
      <c r="BE15" s="1111"/>
      <c r="BF15" s="1111"/>
      <c r="BG15" s="1111"/>
      <c r="BH15" s="1111"/>
      <c r="BI15" s="1111"/>
      <c r="BJ15" s="1111"/>
      <c r="BK15" s="1111"/>
      <c r="BL15" s="1111"/>
      <c r="BM15" s="1111"/>
      <c r="BN15" s="1111"/>
      <c r="BO15" s="1111"/>
      <c r="BP15" s="1111"/>
      <c r="BQ15" s="1111"/>
      <c r="BR15" s="1111"/>
      <c r="BS15" s="1114"/>
      <c r="BT15" s="1114"/>
      <c r="BU15" s="1114"/>
      <c r="BV15" s="1114"/>
      <c r="BW15" s="1114"/>
      <c r="BX15" s="1114"/>
      <c r="BY15" s="1114"/>
      <c r="BZ15" s="1114"/>
      <c r="CA15" s="1114"/>
      <c r="CB15" s="1114"/>
    </row>
    <row r="17" s="62813" customFormat="1" customHeight="1" ht="17.25">
      <c r="A17" s="2507" t="s">
        <v>1983</v>
      </c>
    </row>
    <row r="19" s="63225" customFormat="1" customHeight="1" ht="15">
      <c r="A19" s="2574"/>
      <c r="B19" s="2058">
        <v>1</v>
      </c>
      <c r="C19" s="2058"/>
      <c r="D19" s="1492" t="s">
        <v>104</v>
      </c>
      <c r="E19" s="2570"/>
      <c r="F19" s="2575">
        <f>$F$20</f>
        <v>0</v>
      </c>
      <c r="G19" s="2579"/>
      <c r="H19" s="2579"/>
      <c r="I19" s="2577"/>
      <c r="J19" s="2316"/>
      <c r="K19" s="2328"/>
      <c r="L19" s="2328"/>
      <c r="M19" s="2316" t="str">
        <f t="array" ref="M19:M19">IF(ISERROR(MATCH(MID(N19,1,250),MID(note_ter,1,250),0)),"n","y")</f>
        <v>n</v>
      </c>
      <c r="N19" s="2328"/>
      <c r="O19" s="2316" t="str">
        <f>H19&amp;"("&amp;I19&amp;")"</f>
        <v>()</v>
      </c>
      <c r="P19" s="2058"/>
      <c r="Q19" s="2058"/>
      <c r="R19" s="1112"/>
      <c r="S19" s="2058"/>
      <c r="T19" s="2058"/>
      <c r="U19" s="2058"/>
      <c r="V19" s="1525"/>
      <c r="W19" s="1525"/>
      <c r="X19" s="1319"/>
      <c r="Y19" s="1319"/>
      <c r="Z19" s="1319"/>
      <c r="AA19" s="1319"/>
      <c r="AB19" s="1319"/>
      <c r="AC19" s="1319"/>
      <c r="AD19" s="1319"/>
      <c r="AE19" s="1319"/>
      <c r="AF19" s="1319"/>
      <c r="AG19" s="1319"/>
      <c r="AH19" s="1319"/>
      <c r="AI19" s="1319"/>
      <c r="AJ19" s="1319"/>
      <c r="AK19" s="1319"/>
      <c r="AL19" s="1319"/>
      <c r="AM19" s="1319"/>
      <c r="AN19" s="1319"/>
      <c r="AO19" s="1319"/>
      <c r="AP19" s="1319"/>
      <c r="AQ19" s="1319"/>
      <c r="AR19" s="1319"/>
      <c r="AS19" s="1319"/>
      <c r="AT19" s="1319"/>
      <c r="AU19" s="1319"/>
      <c r="AV19" s="1319"/>
      <c r="AW19" s="1319"/>
      <c r="AX19" s="1319"/>
      <c r="AY19" s="1319"/>
      <c r="AZ19" s="1319"/>
      <c r="BA19" s="1319"/>
      <c r="BB19" s="1319"/>
      <c r="BC19" s="1319"/>
      <c r="BD19" s="1319"/>
      <c r="BE19" s="1319"/>
      <c r="BF19" s="1319"/>
      <c r="BG19" s="1319"/>
      <c r="BH19" s="1319"/>
      <c r="BI19" s="1319"/>
      <c r="BJ19" s="1319"/>
      <c r="BK19" s="1319"/>
      <c r="BL19" s="1319"/>
      <c r="BM19" s="1319"/>
      <c r="BN19" s="1319"/>
      <c r="BO19" s="1319"/>
      <c r="BP19" s="1319"/>
      <c r="BQ19" s="1319"/>
      <c r="BR19" s="1319"/>
      <c r="BS19" s="1525"/>
      <c r="BT19" s="1525"/>
      <c r="BU19" s="1525"/>
      <c r="BV19" s="1525"/>
      <c r="BW19" s="1525"/>
      <c r="BX19" s="1525"/>
      <c r="BY19" s="1525"/>
      <c r="BZ19" s="1525"/>
      <c r="CA19" s="1525"/>
      <c r="CB19" s="1525"/>
    </row>
    <row r="21" s="63225" customFormat="1" customHeight="1" ht="15">
      <c r="A21" s="2507" t="s">
        <v>1984</v>
      </c>
      <c r="B21" s="2507"/>
      <c r="C21" s="2507"/>
      <c r="D21" s="2507"/>
      <c r="E21" s="2507"/>
      <c r="F21" s="2507"/>
      <c r="G21" s="2507"/>
      <c r="H21" s="2507"/>
      <c r="I21" s="2507"/>
      <c r="J21" s="2507"/>
      <c r="K21" s="2507"/>
      <c r="L21" s="2507"/>
      <c r="M21" s="2507"/>
      <c r="N21" s="2507"/>
      <c r="O21" s="2507"/>
      <c r="P21" s="2507"/>
      <c r="Q21" s="2507"/>
      <c r="R21" s="2507"/>
      <c r="S21" s="2507"/>
      <c r="T21" s="2507"/>
      <c r="U21" s="876"/>
      <c r="V21" s="2507"/>
      <c r="W21" s="2507"/>
    </row>
    <row s="63225" customFormat="1" customHeight="1" ht="15">
      <c r="U22" s="877"/>
    </row>
    <row s="63055" customFormat="1" customHeight="1" ht="15">
      <c r="A23" s="1115"/>
      <c r="B23" s="1115"/>
      <c r="C23" s="2420" t="s">
        <v>104</v>
      </c>
      <c r="D23" s="2800" t="s">
        <v>118</v>
      </c>
      <c r="E23" s="2801"/>
      <c r="F23" s="2799" t="s">
        <v>19</v>
      </c>
      <c r="G23" s="3249"/>
      <c r="H23" s="2819">
        <v>1</v>
      </c>
      <c r="I23" s="3251" t="str">
        <f>IF(U23="","",INDEX(TERRITORY_MR_LIST,MATCH(U23,TERRITORY_LIST_ID,0)))</f>
        <v/>
      </c>
      <c r="J23" s="2799" t="s">
        <v>19</v>
      </c>
      <c r="K23" s="1524"/>
      <c r="L23" s="2474" t="s">
        <v>118</v>
      </c>
      <c r="M23" s="1295"/>
      <c r="N23" s="1296"/>
      <c r="O23" s="1296"/>
      <c r="P23" s="1296"/>
      <c r="Q23" s="1296"/>
      <c r="R23" s="1296"/>
      <c r="S23" s="1296"/>
      <c r="T23" s="1296"/>
      <c r="U23" s="1297"/>
      <c r="V23" s="1296"/>
      <c r="W23" s="1296"/>
      <c r="X23" s="1287"/>
      <c r="Y23" s="1287" t="s">
        <v>126</v>
      </c>
      <c r="Z23" s="1287">
        <v>1705000</v>
      </c>
      <c r="AA23" s="1287"/>
      <c r="AB23" s="1287"/>
      <c r="AC23" s="1287"/>
      <c r="AD23" s="1287"/>
      <c r="AE23" s="1287"/>
      <c r="AF23" s="1287"/>
      <c r="AG23" s="1287"/>
      <c r="AH23" s="1287"/>
      <c r="AI23" s="1287"/>
      <c r="AJ23" s="1287"/>
      <c r="AK23" s="1287"/>
      <c r="AL23" s="1287"/>
    </row>
    <row s="63055" customFormat="1" customHeight="1" ht="15">
      <c r="A24" s="1115"/>
      <c r="B24" s="1115"/>
      <c r="C24" s="868"/>
      <c r="D24" s="2800"/>
      <c r="E24" s="2802"/>
      <c r="F24" s="2799"/>
      <c r="G24" s="3250"/>
      <c r="H24" s="2819"/>
      <c r="I24" s="3252"/>
      <c r="J24" s="2799"/>
      <c r="K24" s="1113"/>
      <c r="L24" s="869"/>
      <c r="M24" s="1299" t="s">
        <v>127</v>
      </c>
      <c r="N24" s="1296"/>
      <c r="O24" s="1296"/>
      <c r="P24" s="1296"/>
      <c r="Q24" s="1296"/>
      <c r="R24" s="1296"/>
      <c r="S24" s="1296"/>
      <c r="T24" s="1296"/>
      <c r="U24" s="1297"/>
      <c r="V24" s="1296"/>
      <c r="W24" s="1296"/>
      <c r="X24" s="1287"/>
      <c r="Y24" s="1287"/>
      <c r="Z24" s="1287"/>
      <c r="AA24" s="1287"/>
      <c r="AB24" s="1287"/>
      <c r="AC24" s="1287"/>
      <c r="AD24" s="1287"/>
      <c r="AE24" s="1287"/>
      <c r="AF24" s="1287"/>
      <c r="AG24" s="1287"/>
      <c r="AH24" s="1287"/>
      <c r="AI24" s="1287"/>
      <c r="AJ24" s="1287"/>
      <c r="AK24" s="1287"/>
      <c r="AL24" s="1287"/>
    </row>
    <row s="63055" customFormat="1" customHeight="1" ht="15">
      <c r="A25" s="1115"/>
      <c r="B25" s="1115"/>
      <c r="C25" s="868"/>
      <c r="D25" s="2800"/>
      <c r="E25" s="2803"/>
      <c r="F25" s="2799"/>
      <c r="G25" s="1113"/>
      <c r="H25" s="869"/>
      <c r="I25" s="1272" t="s">
        <v>128</v>
      </c>
      <c r="J25" s="869"/>
      <c r="K25" s="869"/>
      <c r="L25" s="869"/>
      <c r="M25" s="1300"/>
      <c r="N25" s="1296"/>
      <c r="O25" s="1296"/>
      <c r="P25" s="1296"/>
      <c r="Q25" s="1296"/>
      <c r="R25" s="1296"/>
      <c r="S25" s="1296"/>
      <c r="T25" s="1296"/>
      <c r="U25" s="1297"/>
      <c r="V25" s="1296"/>
      <c r="W25" s="1296"/>
      <c r="X25" s="1287"/>
      <c r="Y25" s="1287"/>
      <c r="Z25" s="1287"/>
      <c r="AA25" s="1287"/>
      <c r="AB25" s="1287"/>
      <c r="AC25" s="1287"/>
      <c r="AD25" s="1287"/>
      <c r="AE25" s="1287"/>
      <c r="AF25" s="1287"/>
      <c r="AG25" s="1287"/>
      <c r="AH25" s="1287"/>
      <c r="AI25" s="1287"/>
      <c r="AJ25" s="1287"/>
      <c r="AK25" s="1287"/>
      <c r="AL25" s="1287"/>
    </row>
    <row s="63225" customFormat="1" customHeight="1" ht="15">
      <c r="U26" s="877"/>
    </row>
    <row s="63225" customFormat="1" customHeight="1" ht="15">
      <c r="A27" s="2507" t="s">
        <v>1985</v>
      </c>
      <c r="B27" s="2507"/>
      <c r="C27" s="2507"/>
      <c r="D27" s="2507"/>
      <c r="E27" s="2507"/>
      <c r="F27" s="2507"/>
      <c r="G27" s="2507"/>
      <c r="H27" s="2507"/>
      <c r="I27" s="2507"/>
      <c r="J27" s="2507"/>
      <c r="K27" s="2507"/>
      <c r="L27" s="2507"/>
      <c r="M27" s="2507"/>
      <c r="N27" s="2507"/>
      <c r="O27" s="2507"/>
      <c r="P27" s="2507"/>
      <c r="Q27" s="2507"/>
      <c r="R27" s="2507"/>
      <c r="S27" s="2507"/>
      <c r="T27" s="2507"/>
      <c r="U27" s="876"/>
      <c r="V27" s="2507"/>
      <c r="W27" s="2507"/>
    </row>
    <row s="63225" customFormat="1" customHeight="1" ht="15">
      <c r="U28" s="877"/>
    </row>
    <row s="63055" customFormat="1" customHeight="1" ht="15">
      <c r="A29" s="1115"/>
      <c r="B29" s="1115"/>
      <c r="C29" s="868"/>
      <c r="D29" s="2513"/>
      <c r="E29" s="2513"/>
      <c r="F29" s="2513"/>
      <c r="G29" s="3253" t="s">
        <v>104</v>
      </c>
      <c r="H29" s="2795">
        <v>1</v>
      </c>
      <c r="I29" s="3254" t="str">
        <f>IF(U29="","",INDEX(TERRITORY_MR_LIST,MATCH(U29,TERRITORY_LIST_ID,0)))</f>
        <v/>
      </c>
      <c r="J29" s="2799" t="s">
        <v>19</v>
      </c>
      <c r="K29" s="1524"/>
      <c r="L29" s="2474" t="s">
        <v>118</v>
      </c>
      <c r="M29" s="1295"/>
      <c r="N29" s="1296"/>
      <c r="O29" s="1296"/>
      <c r="P29" s="1296"/>
      <c r="Q29" s="1296"/>
      <c r="R29" s="1296"/>
      <c r="S29" s="1296"/>
      <c r="T29" s="1296"/>
      <c r="U29" s="1297"/>
      <c r="V29" s="1296"/>
      <c r="W29" s="1296"/>
      <c r="X29" s="1287"/>
      <c r="Y29" s="1287" t="s">
        <v>126</v>
      </c>
      <c r="Z29" s="1287">
        <v>1705000</v>
      </c>
      <c r="AA29" s="1287"/>
      <c r="AB29" s="1287"/>
      <c r="AC29" s="1287"/>
      <c r="AD29" s="1287"/>
      <c r="AE29" s="1287"/>
      <c r="AF29" s="1287"/>
      <c r="AG29" s="1287"/>
      <c r="AH29" s="1287"/>
      <c r="AI29" s="1287"/>
      <c r="AJ29" s="1287"/>
      <c r="AK29" s="1287"/>
      <c r="AL29" s="1287"/>
    </row>
    <row s="63055" customFormat="1" customHeight="1" ht="15">
      <c r="A30" s="1115"/>
      <c r="B30" s="1115"/>
      <c r="C30" s="868"/>
      <c r="D30" s="2513"/>
      <c r="E30" s="2513"/>
      <c r="F30" s="2513"/>
      <c r="G30" s="3253"/>
      <c r="H30" s="2795"/>
      <c r="I30" s="3254"/>
      <c r="J30" s="2799"/>
      <c r="K30" s="1113"/>
      <c r="L30" s="869"/>
      <c r="M30" s="1299" t="s">
        <v>127</v>
      </c>
      <c r="N30" s="1296"/>
      <c r="O30" s="1296"/>
      <c r="P30" s="1296"/>
      <c r="Q30" s="1296"/>
      <c r="R30" s="1296"/>
      <c r="S30" s="1296"/>
      <c r="T30" s="1296"/>
      <c r="U30" s="1297"/>
      <c r="V30" s="1296"/>
      <c r="W30" s="1296"/>
      <c r="X30" s="1287"/>
      <c r="Y30" s="1287"/>
      <c r="Z30" s="1287"/>
      <c r="AA30" s="1287"/>
      <c r="AB30" s="1287"/>
      <c r="AC30" s="1287"/>
      <c r="AD30" s="1287"/>
      <c r="AE30" s="1287"/>
      <c r="AF30" s="1287"/>
      <c r="AG30" s="1287"/>
      <c r="AH30" s="1287"/>
      <c r="AI30" s="1287"/>
      <c r="AJ30" s="1287"/>
      <c r="AK30" s="1287"/>
      <c r="AL30" s="1287"/>
    </row>
    <row s="63225" customFormat="1" customHeight="1" ht="15">
      <c r="U31" s="877"/>
    </row>
    <row s="63225" customFormat="1" customHeight="1" ht="15">
      <c r="A32" s="2507" t="s">
        <v>1986</v>
      </c>
      <c r="B32" s="2507"/>
      <c r="C32" s="2507"/>
      <c r="D32" s="2507"/>
      <c r="E32" s="2507"/>
      <c r="F32" s="2507"/>
      <c r="G32" s="2507"/>
      <c r="H32" s="2507"/>
      <c r="I32" s="2507"/>
      <c r="J32" s="2507"/>
      <c r="K32" s="2507"/>
      <c r="L32" s="2507"/>
      <c r="M32" s="2507"/>
      <c r="N32" s="2507"/>
      <c r="O32" s="2507"/>
      <c r="P32" s="2507"/>
      <c r="Q32" s="2507"/>
      <c r="R32" s="2507"/>
      <c r="S32" s="2507"/>
      <c r="T32" s="2507"/>
      <c r="U32" s="876"/>
      <c r="V32" s="2507"/>
      <c r="W32" s="2507"/>
    </row>
    <row s="63225" customFormat="1" customHeight="1" ht="15">
      <c r="U33" s="877"/>
    </row>
    <row s="63055" customFormat="1" customHeight="1" ht="15">
      <c r="A34" s="1115"/>
      <c r="B34" s="1115"/>
      <c r="C34" s="868"/>
      <c r="D34" s="2513"/>
      <c r="E34" s="2513"/>
      <c r="F34" s="2513"/>
      <c r="G34" s="2513"/>
      <c r="H34" s="2513"/>
      <c r="I34" s="2513"/>
      <c r="J34" s="2513"/>
      <c r="K34" s="2491" t="s">
        <v>104</v>
      </c>
      <c r="L34" s="2421" t="s">
        <v>118</v>
      </c>
      <c r="M34" s="1503"/>
      <c r="N34" s="1504"/>
      <c r="O34" s="1296"/>
      <c r="P34" s="1296"/>
      <c r="Q34" s="1296"/>
      <c r="R34" s="1296"/>
      <c r="S34" s="1296"/>
      <c r="T34" s="1296"/>
      <c r="U34" s="1297"/>
      <c r="V34" s="1296"/>
      <c r="W34" s="1296"/>
      <c r="X34" s="1287"/>
      <c r="Y34" s="1287" t="s">
        <v>126</v>
      </c>
      <c r="Z34" s="1287">
        <v>1705000</v>
      </c>
      <c r="AA34" s="1287"/>
      <c r="AB34" s="1287"/>
      <c r="AC34" s="1287"/>
      <c r="AD34" s="1287"/>
      <c r="AE34" s="1287"/>
      <c r="AF34" s="1287"/>
      <c r="AG34" s="1287"/>
      <c r="AH34" s="1287"/>
      <c r="AI34" s="1287"/>
      <c r="AJ34" s="1287"/>
      <c r="AK34" s="1287"/>
      <c r="AL34" s="1287"/>
    </row>
    <row s="63225" customFormat="1" customHeight="1" ht="15">
      <c r="U35" s="877"/>
    </row>
    <row s="63225" customFormat="1" customHeight="1" ht="15">
      <c r="U36" s="877"/>
    </row>
    <row s="62813" customFormat="1" customHeight="1" ht="11.25">
      <c r="A37" s="2507" t="s">
        <v>1987</v>
      </c>
    </row>
    <row customHeight="1" ht="11.25"/>
    <row s="58205" customFormat="1" customHeight="1" ht="22.5">
      <c r="A39" s="2483"/>
      <c r="B39" s="1149"/>
      <c r="C39" s="1551"/>
      <c r="D39" s="1132"/>
      <c r="E39" s="1552"/>
      <c r="F39" s="2504"/>
      <c r="G39" s="2514"/>
      <c r="H39" s="1167"/>
    </row>
    <row customHeight="1" ht="11.25"/>
    <row s="62813" customFormat="1" customHeight="1" ht="11.25">
      <c r="A41" s="2507" t="s">
        <v>1988</v>
      </c>
    </row>
    <row customHeight="1" ht="11.25"/>
    <row s="58205" customFormat="1" customHeight="1" ht="22.5">
      <c r="A43" s="1149"/>
      <c r="B43" s="1149"/>
      <c r="C43" s="1149"/>
      <c r="D43" s="1132"/>
      <c r="E43" s="1552"/>
      <c r="F43" s="1553"/>
      <c r="G43" s="2514"/>
      <c r="H43" s="1167"/>
    </row>
    <row customHeight="1" ht="11.25"/>
    <row s="62813" customFormat="1" customHeight="1" ht="11.25">
      <c r="A45" s="2507" t="s">
        <v>1989</v>
      </c>
    </row>
    <row customHeight="1" ht="11.25"/>
    <row s="58205" customFormat="1" customHeight="1" ht="24">
      <c r="A47" s="2894" t="s">
        <v>388</v>
      </c>
      <c r="B47" s="1194"/>
      <c r="C47" s="2905"/>
      <c r="D47" s="1137" t="str">
        <f>A47</f>
        <v>5.1</v>
      </c>
      <c r="E47" s="1134" t="s">
        <v>389</v>
      </c>
      <c r="F47" s="2668" t="s">
        <v>381</v>
      </c>
      <c r="G47" s="1136" t="s">
        <v>390</v>
      </c>
      <c r="H47" s="1167"/>
      <c r="I47" s="1544"/>
    </row>
    <row s="58205" customFormat="1" customHeight="1" ht="22.5">
      <c r="A48" s="2894"/>
      <c r="B48" s="1194"/>
      <c r="C48" s="2905"/>
      <c r="D48" s="1132" t="str">
        <f>D47&amp;".1"</f>
        <v>5.1.1</v>
      </c>
      <c r="E48" s="1131" t="s">
        <v>391</v>
      </c>
      <c r="F48" s="2669" t="s">
        <v>28</v>
      </c>
      <c r="G48" s="1166"/>
      <c r="H48" s="1167"/>
      <c r="I48" s="1544"/>
    </row>
    <row s="58205" customFormat="1" customHeight="1" ht="22.5">
      <c r="A49" s="2894"/>
      <c r="B49" s="1194"/>
      <c r="C49" s="2905"/>
      <c r="D49" s="1132" t="str">
        <f>D47&amp;".2"</f>
        <v>5.1.2</v>
      </c>
      <c r="E49" s="1131" t="s">
        <v>392</v>
      </c>
      <c r="F49" s="2424" t="s">
        <v>28</v>
      </c>
      <c r="G49" s="1136" t="s">
        <v>393</v>
      </c>
      <c r="H49" s="1167"/>
      <c r="I49" s="1544"/>
    </row>
    <row s="58205" customFormat="1" customHeight="1" ht="22.5">
      <c r="A50" s="2894"/>
      <c r="B50" s="1194"/>
      <c r="C50" s="2905"/>
      <c r="D50" s="1132" t="str">
        <f>D47&amp;".3"</f>
        <v>5.1.3</v>
      </c>
      <c r="E50" s="1131" t="s">
        <v>394</v>
      </c>
      <c r="F50" s="2669" t="s">
        <v>28</v>
      </c>
      <c r="G50" s="1166"/>
      <c r="H50" s="1167"/>
      <c r="I50" s="1544"/>
    </row>
    <row s="58205" customFormat="1" customHeight="1" ht="22.5">
      <c r="A51" s="2894"/>
      <c r="B51" s="1194"/>
      <c r="C51" s="2905"/>
      <c r="D51" s="1132" t="str">
        <f>D47&amp;".4"</f>
        <v>5.1.4</v>
      </c>
      <c r="E51" s="1131" t="s">
        <v>395</v>
      </c>
      <c r="F51" s="2669" t="s">
        <v>28</v>
      </c>
      <c r="G51" s="1136" t="s">
        <v>396</v>
      </c>
      <c r="H51" s="1167"/>
      <c r="I51" s="1544"/>
    </row>
    <row r="54" s="62813" customFormat="1" customHeight="1" ht="17.25">
      <c r="A54" s="2507" t="s">
        <v>1990</v>
      </c>
    </row>
    <row r="56" s="58292" customFormat="1" customHeight="1" ht="18.75">
      <c r="A56" s="781"/>
      <c r="B56" s="2515"/>
      <c r="C56" s="2515"/>
      <c r="D56" s="2516"/>
      <c r="E56" s="2501"/>
      <c r="F56" s="1560">
        <v>13</v>
      </c>
      <c r="G56" s="1559"/>
      <c r="H56" s="1485"/>
      <c r="I56" s="1483"/>
      <c r="J56" s="1212" t="s">
        <v>67</v>
      </c>
      <c r="K56" s="2517" t="s">
        <v>28</v>
      </c>
      <c r="L56" s="781"/>
      <c r="M56" s="2328"/>
      <c r="N56" s="2328"/>
      <c r="O56" s="2328"/>
      <c r="P56" s="1208" t="s">
        <v>467</v>
      </c>
      <c r="Q56" s="1208" t="s">
        <v>468</v>
      </c>
      <c r="R56" s="1209" t="s">
        <v>469</v>
      </c>
      <c r="S56" s="2328" t="s">
        <v>470</v>
      </c>
      <c r="T56" s="2328"/>
      <c r="U56" s="2328"/>
      <c r="V56" s="2328"/>
    </row>
    <row r="58" s="62813" customFormat="1" customHeight="1" ht="11.25">
      <c r="A58" s="2507" t="s">
        <v>1991</v>
      </c>
    </row>
    <row r="60" s="62286" customFormat="1" customHeight="1" ht="14.25">
      <c r="C60" s="2380"/>
      <c r="D60" s="2561"/>
      <c r="E60" s="2469" t="s">
        <v>28</v>
      </c>
      <c r="F60" s="2560"/>
      <c r="G60" s="1548"/>
      <c r="H60" s="2470"/>
      <c r="I60" s="2470"/>
      <c r="J60" s="1125"/>
      <c r="K60" s="2555"/>
      <c r="L60" s="1124"/>
      <c r="M60" s="2555"/>
      <c r="N60" s="1125"/>
      <c r="O60" s="2555"/>
      <c r="P60" s="1125"/>
      <c r="Q60" s="2555"/>
      <c r="R60" s="1125"/>
      <c r="S60" s="1546"/>
      <c r="T60" s="2470"/>
      <c r="U60" s="1125"/>
      <c r="V60" s="1125"/>
      <c r="W60" s="2559"/>
      <c r="X60" s="2470"/>
      <c r="Y60" s="1125"/>
      <c r="Z60" s="1125"/>
      <c r="AA60" s="2559"/>
      <c r="AB60" s="2470"/>
      <c r="AC60" s="1125"/>
      <c r="AD60" s="2559"/>
      <c r="AE60" s="781"/>
      <c r="AF60" s="781"/>
      <c r="AG60" s="781"/>
      <c r="AH60" s="781"/>
      <c r="AJ60" s="2328"/>
      <c r="AK60" s="2328"/>
      <c r="AL60" s="2328"/>
      <c r="AM60" s="2328"/>
      <c r="AN60" s="2328"/>
      <c r="AO60" s="2328"/>
      <c r="AP60" s="2316" t="s">
        <v>456</v>
      </c>
      <c r="AQ60" s="2316" t="s">
        <v>456</v>
      </c>
      <c r="AR60" s="2328"/>
      <c r="AS60" s="2328"/>
    </row>
    <row r="62" s="62813" customFormat="1" customHeight="1" ht="11.25">
      <c r="A62" s="2507" t="s">
        <v>1992</v>
      </c>
    </row>
    <row r="64" s="62977" customFormat="1" customHeight="1" ht="15">
      <c r="A64" s="837" t="s">
        <v>91</v>
      </c>
      <c r="B64" s="817" t="s">
        <v>28</v>
      </c>
      <c r="C64" s="2518"/>
      <c r="D64" s="820"/>
      <c r="E64" s="1073"/>
      <c r="F64" s="1073"/>
      <c r="G64" s="2495"/>
      <c r="H64" s="2517"/>
      <c r="I64" s="2496"/>
      <c r="K64" s="964"/>
      <c r="L64" s="965"/>
    </row>
    <row r="66" s="62813" customFormat="1" customHeight="1" ht="11.25">
      <c r="A66" s="2507" t="s">
        <v>1993</v>
      </c>
    </row>
    <row r="68" s="62286" customFormat="1" customHeight="1" ht="14.25">
      <c r="A68" s="1035"/>
      <c r="B68" s="1852"/>
      <c r="C68" s="1068"/>
      <c r="D68" s="2502"/>
      <c r="E68" s="1578"/>
      <c r="F68" s="2517"/>
      <c r="G68" s="781"/>
      <c r="I68" s="2316"/>
      <c r="J68" s="2316"/>
    </row>
    <row r="70" s="62813" customFormat="1" customHeight="1" ht="11.25">
      <c r="A70" s="2507" t="s">
        <v>1994</v>
      </c>
    </row>
    <row r="72" s="62286" customFormat="1" customHeight="1" ht="27">
      <c r="A72" s="1858"/>
      <c r="B72" s="1858"/>
      <c r="C72" s="1858"/>
      <c r="D72" s="1852"/>
      <c r="E72" s="2519"/>
      <c r="F72" s="3273"/>
      <c r="G72" s="3274"/>
      <c r="H72" s="3275" t="s">
        <v>67</v>
      </c>
      <c r="I72" s="3277"/>
      <c r="J72" s="3240"/>
      <c r="K72" s="3279"/>
      <c r="L72" s="3242"/>
      <c r="M72" s="3242"/>
      <c r="N72" s="3243"/>
      <c r="O72" s="3243"/>
      <c r="P72" s="3244">
        <f>DATEDIF(DATEVALUE(N72),DATEVALUE(O72),"y")&amp;"г. "&amp;DATEDIF(DATEVALUE(N72),DATEVALUE(O72),"ym")&amp;"мес. "&amp;DATEVALUE(O72)-DATE(YEAR(DATEVALUE(O72)),MONTH(DATEVALUE(O72)),1)&amp;"дн. "</f>
      </c>
      <c r="Q72" s="3239"/>
      <c r="R72" s="3239"/>
      <c r="S72" s="3239"/>
      <c r="T72" s="3240"/>
      <c r="U72" s="3239"/>
      <c r="V72" s="3239"/>
      <c r="W72" s="3239"/>
      <c r="X72" s="3240"/>
      <c r="Y72" s="3237" t="s">
        <v>67</v>
      </c>
      <c r="Z72" s="2500"/>
      <c r="AA72" s="2484">
        <v>1</v>
      </c>
      <c r="AB72" s="1934"/>
      <c r="AD72" s="2328" t="s">
        <v>1995</v>
      </c>
    </row>
    <row s="62286" customFormat="1" customHeight="1" ht="10.5">
      <c r="A73" s="1858"/>
      <c r="B73" s="1858"/>
      <c r="C73" s="1858"/>
      <c r="D73" s="1852"/>
      <c r="E73" s="1639"/>
      <c r="F73" s="3273"/>
      <c r="G73" s="3274"/>
      <c r="H73" s="3276"/>
      <c r="I73" s="3278"/>
      <c r="J73" s="3241"/>
      <c r="K73" s="3279"/>
      <c r="L73" s="3242"/>
      <c r="M73" s="3242"/>
      <c r="N73" s="3243"/>
      <c r="O73" s="3243"/>
      <c r="P73" s="3244"/>
      <c r="Q73" s="3239"/>
      <c r="R73" s="3239"/>
      <c r="S73" s="3239"/>
      <c r="T73" s="3241"/>
      <c r="U73" s="3239"/>
      <c r="V73" s="3239"/>
      <c r="W73" s="3239"/>
      <c r="X73" s="3241"/>
      <c r="Y73" s="3238"/>
      <c r="Z73" s="1039"/>
      <c r="AA73" s="1264"/>
      <c r="AB73" s="1344" t="s">
        <v>1996</v>
      </c>
    </row>
    <row r="75" s="62813" customFormat="1" customHeight="1" ht="11.25">
      <c r="A75" s="2507" t="s">
        <v>1997</v>
      </c>
    </row>
    <row r="77" s="62286" customFormat="1" customHeight="1" ht="27">
      <c r="A77" s="1858"/>
      <c r="B77" s="1858"/>
      <c r="C77" s="1858"/>
      <c r="D77" s="1852"/>
      <c r="E77" s="2519"/>
      <c r="F77" s="2489"/>
      <c r="G77" s="2439"/>
      <c r="H77" s="2440"/>
      <c r="I77" s="2441"/>
      <c r="J77" s="2442"/>
      <c r="K77" s="2443"/>
      <c r="L77" s="2444"/>
      <c r="M77" s="2444"/>
      <c r="N77" s="2445"/>
      <c r="O77" s="2445"/>
      <c r="P77" s="2446"/>
      <c r="Q77" s="2447"/>
      <c r="R77" s="2447"/>
      <c r="S77" s="2447"/>
      <c r="T77" s="2442"/>
      <c r="U77" s="2447"/>
      <c r="V77" s="2447"/>
      <c r="W77" s="2447"/>
      <c r="X77" s="2442"/>
      <c r="Y77" s="2440"/>
      <c r="Z77" s="2500"/>
      <c r="AA77" s="2484">
        <v>1</v>
      </c>
      <c r="AB77" s="1934"/>
      <c r="AD77" s="2328" t="s">
        <v>1995</v>
      </c>
    </row>
    <row r="79" s="62813" customFormat="1" customHeight="1" ht="11.25">
      <c r="A79" s="2507" t="s">
        <v>1998</v>
      </c>
    </row>
    <row customHeight="1" ht="17.25"/>
    <row s="62286" customFormat="1" customHeight="1" ht="21">
      <c r="A81" s="1859"/>
      <c r="B81" s="1858"/>
      <c r="C81" s="1858"/>
      <c r="D81" s="1852"/>
      <c r="E81" s="1862"/>
      <c r="F81" s="1814">
        <f>INDEX(IP_MAIN_LIST_NAME_IP,MATCH(A81,IP_MAIN_LIST_IP_ID,0))&amp;" ("&amp;INDEX(IP_MAIN_START_DATE,MATCH(A81,IP_MAIN_LIST_IP_ID,0))&amp;"-"&amp;INDEX(IP_MAIN_END_DATE,MATCH(A81,IP_MAIN_LIST_IP_ID,0))&amp;")"</f>
      </c>
      <c r="G81" s="1815"/>
      <c r="H81" s="1815"/>
      <c r="I81" s="1877"/>
      <c r="J81" s="1877"/>
      <c r="K81" s="1878"/>
      <c r="L81" s="1878"/>
      <c r="M81" s="1878"/>
      <c r="N81" s="1879"/>
      <c r="O81" s="1879"/>
      <c r="P81" s="1879"/>
      <c r="Q81" s="1879"/>
      <c r="R81" s="1879"/>
      <c r="S81" s="1879"/>
      <c r="T81" s="1879"/>
      <c r="U81" s="1879"/>
      <c r="V81" s="1879"/>
      <c r="W81" s="1879"/>
      <c r="X81" s="1879"/>
      <c r="Y81" s="1879"/>
      <c r="Z81" s="1879"/>
      <c r="AA81" s="1879"/>
      <c r="AB81" s="1879"/>
      <c r="AC81" s="1879"/>
      <c r="AD81" s="1879"/>
      <c r="AE81" s="1880"/>
      <c r="AF81" s="1878"/>
      <c r="AG81" s="1878"/>
      <c r="AH81" s="1878"/>
      <c r="AI81" s="1878"/>
      <c r="AJ81" s="1878"/>
      <c r="AK81" s="1878"/>
      <c r="AL81" s="2680"/>
      <c r="AM81" s="2515"/>
      <c r="AN81" s="2515"/>
      <c r="AO81" s="2515"/>
      <c r="AP81" s="2515"/>
      <c r="AQ81" s="2515"/>
      <c r="AR81" s="2515"/>
      <c r="AS81" s="2515"/>
      <c r="AT81" s="2515"/>
      <c r="AU81" s="2515"/>
      <c r="AV81" s="2515"/>
      <c r="AW81" s="2515"/>
      <c r="AX81" s="2515"/>
      <c r="AY81" s="2515"/>
      <c r="AZ81" s="2515"/>
      <c r="BA81" s="2515"/>
      <c r="BB81" s="2515"/>
      <c r="BC81" s="2515"/>
      <c r="BD81" s="2515"/>
      <c r="BE81" s="2515"/>
      <c r="BF81" s="2515"/>
    </row>
    <row s="62286" customFormat="1" customHeight="1" ht="0.75">
      <c r="A82" s="1858"/>
      <c r="B82" s="1858"/>
      <c r="C82" s="1858"/>
      <c r="D82" s="1852"/>
      <c r="E82" s="1862"/>
      <c r="F82" s="3228"/>
      <c r="G82" s="3207"/>
      <c r="H82" s="3232" t="s">
        <v>451</v>
      </c>
      <c r="I82" s="3233"/>
      <c r="J82" s="3234"/>
      <c r="K82" s="3234"/>
      <c r="L82" s="3226"/>
      <c r="M82" s="2960"/>
      <c r="N82" s="2728"/>
      <c r="O82" s="2727"/>
      <c r="P82" s="2728"/>
      <c r="Q82" s="2728"/>
      <c r="R82" s="2728"/>
      <c r="S82" s="2728"/>
      <c r="T82" s="2728"/>
      <c r="U82" s="2728"/>
      <c r="V82" s="2728"/>
      <c r="W82" s="2728"/>
      <c r="X82" s="2728"/>
      <c r="Y82" s="2728"/>
      <c r="Z82" s="2728"/>
      <c r="AA82" s="2728"/>
      <c r="AB82" s="2728"/>
      <c r="AC82" s="2728"/>
      <c r="AD82" s="2728"/>
      <c r="AE82" s="2728"/>
      <c r="AF82" s="3230"/>
      <c r="AG82" s="3226"/>
      <c r="AH82" s="3226"/>
      <c r="AI82" s="3230"/>
      <c r="AJ82" s="3226"/>
      <c r="AK82" s="3226"/>
      <c r="AL82" s="2680"/>
      <c r="AM82" s="2515"/>
      <c r="AN82" s="2515"/>
      <c r="AO82" s="2515"/>
      <c r="AP82" s="2515"/>
      <c r="AQ82" s="2515"/>
      <c r="AR82" s="2515"/>
      <c r="AS82" s="2515"/>
      <c r="AT82" s="2515"/>
      <c r="AU82" s="2515"/>
      <c r="AV82" s="2515"/>
      <c r="AW82" s="2515"/>
      <c r="AX82" s="2515"/>
      <c r="AY82" s="2515"/>
      <c r="AZ82" s="2515"/>
      <c r="BA82" s="2515"/>
      <c r="BB82" s="2515"/>
      <c r="BC82" s="2515"/>
      <c r="BD82" s="2515"/>
      <c r="BE82" s="2515"/>
      <c r="BF82" s="2515"/>
    </row>
    <row s="62286" customFormat="1" customHeight="1" ht="0.75">
      <c r="A83" s="1858"/>
      <c r="B83" s="1858"/>
      <c r="C83" s="1858"/>
      <c r="D83" s="1852"/>
      <c r="E83" s="1862"/>
      <c r="F83" s="3228"/>
      <c r="G83" s="3207"/>
      <c r="H83" s="3232"/>
      <c r="I83" s="3233"/>
      <c r="J83" s="3234"/>
      <c r="K83" s="3234"/>
      <c r="L83" s="3226"/>
      <c r="M83" s="2960"/>
      <c r="N83" s="3235"/>
      <c r="O83" s="3236"/>
      <c r="P83" s="3280"/>
      <c r="Q83" s="3231"/>
      <c r="R83" s="3231"/>
      <c r="S83" s="3231"/>
      <c r="T83" s="3231"/>
      <c r="U83" s="3231"/>
      <c r="V83" s="3231"/>
      <c r="W83" s="3231"/>
      <c r="X83" s="3231"/>
      <c r="Y83" s="3231"/>
      <c r="Z83" s="2729"/>
      <c r="AA83" s="2730"/>
      <c r="AB83" s="2730"/>
      <c r="AC83" s="2731"/>
      <c r="AD83" s="2731"/>
      <c r="AE83" s="2732"/>
      <c r="AF83" s="3230"/>
      <c r="AG83" s="3226"/>
      <c r="AH83" s="3226"/>
      <c r="AI83" s="3230"/>
      <c r="AJ83" s="3226"/>
      <c r="AK83" s="3226"/>
      <c r="AL83" s="2680"/>
      <c r="AM83" s="2515"/>
      <c r="AN83" s="2515"/>
      <c r="AO83" s="2515"/>
      <c r="AP83" s="2515"/>
      <c r="AQ83" s="2515"/>
      <c r="AR83" s="2515"/>
      <c r="AS83" s="2515"/>
      <c r="AT83" s="2515"/>
      <c r="AU83" s="2515"/>
      <c r="AV83" s="2515"/>
      <c r="AW83" s="2515"/>
      <c r="AX83" s="2515"/>
      <c r="AY83" s="2515"/>
      <c r="AZ83" s="2515"/>
      <c r="BA83" s="2515"/>
      <c r="BB83" s="2515"/>
      <c r="BC83" s="2515"/>
      <c r="BD83" s="2515"/>
      <c r="BE83" s="2515"/>
      <c r="BF83" s="2515"/>
    </row>
    <row s="62286" customFormat="1" customHeight="1" ht="0.75">
      <c r="A84" s="1858"/>
      <c r="B84" s="1858"/>
      <c r="C84" s="1858"/>
      <c r="D84" s="1852"/>
      <c r="E84" s="1862"/>
      <c r="F84" s="3228"/>
      <c r="G84" s="3207"/>
      <c r="H84" s="3232"/>
      <c r="I84" s="3233"/>
      <c r="J84" s="3234"/>
      <c r="K84" s="3234"/>
      <c r="L84" s="3226"/>
      <c r="M84" s="2960"/>
      <c r="N84" s="3235"/>
      <c r="O84" s="3236"/>
      <c r="P84" s="3281"/>
      <c r="Q84" s="3231"/>
      <c r="R84" s="3231"/>
      <c r="S84" s="3231"/>
      <c r="T84" s="3231"/>
      <c r="U84" s="3231"/>
      <c r="V84" s="3231"/>
      <c r="W84" s="3231"/>
      <c r="X84" s="3231"/>
      <c r="Y84" s="3231"/>
      <c r="Z84" s="2733"/>
      <c r="AA84" s="2734"/>
      <c r="AB84" s="2735"/>
      <c r="AC84" s="2736"/>
      <c r="AD84" s="2735"/>
      <c r="AE84" s="2736"/>
      <c r="AF84" s="3230"/>
      <c r="AG84" s="3226"/>
      <c r="AH84" s="3226"/>
      <c r="AI84" s="3230"/>
      <c r="AJ84" s="3226"/>
      <c r="AK84" s="3226"/>
      <c r="AL84" s="2680"/>
      <c r="AM84" s="2515"/>
      <c r="AN84" s="2515"/>
      <c r="AO84" s="2515"/>
      <c r="AP84" s="2515"/>
      <c r="AQ84" s="2515"/>
      <c r="AR84" s="2515"/>
      <c r="AS84" s="2515"/>
      <c r="AT84" s="2515"/>
      <c r="AU84" s="2515"/>
      <c r="AV84" s="2515"/>
      <c r="AW84" s="2515"/>
      <c r="AX84" s="2515"/>
      <c r="AY84" s="2515"/>
      <c r="AZ84" s="2515"/>
      <c r="BA84" s="2515"/>
      <c r="BB84" s="2515"/>
      <c r="BC84" s="2515"/>
      <c r="BD84" s="2515"/>
      <c r="BE84" s="2515"/>
      <c r="BF84" s="2515"/>
    </row>
    <row s="62286" customFormat="1" customHeight="1" ht="0.75">
      <c r="A85" s="1858"/>
      <c r="B85" s="1858"/>
      <c r="C85" s="1858"/>
      <c r="D85" s="1852"/>
      <c r="E85" s="1862"/>
      <c r="F85" s="3228"/>
      <c r="G85" s="3207"/>
      <c r="H85" s="3232"/>
      <c r="I85" s="3233"/>
      <c r="J85" s="3234"/>
      <c r="K85" s="3234"/>
      <c r="L85" s="3226"/>
      <c r="M85" s="2960"/>
      <c r="N85" s="3235"/>
      <c r="O85" s="3236"/>
      <c r="P85" s="3282"/>
      <c r="Q85" s="3231"/>
      <c r="R85" s="3231"/>
      <c r="S85" s="3231"/>
      <c r="T85" s="3231"/>
      <c r="U85" s="3231"/>
      <c r="V85" s="3231"/>
      <c r="W85" s="3231"/>
      <c r="X85" s="3231"/>
      <c r="Y85" s="3231"/>
      <c r="Z85" s="2729"/>
      <c r="AA85" s="2730"/>
      <c r="AB85" s="2737"/>
      <c r="AC85" s="2731"/>
      <c r="AD85" s="2731"/>
      <c r="AE85" s="2738"/>
      <c r="AF85" s="3230"/>
      <c r="AG85" s="3226"/>
      <c r="AH85" s="3226"/>
      <c r="AI85" s="3230"/>
      <c r="AJ85" s="3226"/>
      <c r="AK85" s="3226"/>
      <c r="AL85" s="2680"/>
      <c r="AM85" s="2515"/>
      <c r="AN85" s="2515"/>
      <c r="AO85" s="2515"/>
      <c r="AP85" s="2515"/>
      <c r="AQ85" s="2515"/>
      <c r="AR85" s="2515"/>
      <c r="AS85" s="2515"/>
      <c r="AT85" s="2515"/>
      <c r="AU85" s="2515"/>
      <c r="AV85" s="2515"/>
      <c r="AW85" s="2515"/>
      <c r="AX85" s="2515"/>
      <c r="AY85" s="2515"/>
      <c r="AZ85" s="2515"/>
      <c r="BA85" s="2515"/>
      <c r="BB85" s="2515"/>
      <c r="BC85" s="2515"/>
      <c r="BD85" s="2515"/>
      <c r="BE85" s="2515"/>
      <c r="BF85" s="2515"/>
    </row>
    <row s="62286" customFormat="1" customHeight="1" ht="0.75">
      <c r="A86" s="1858"/>
      <c r="B86" s="1858"/>
      <c r="C86" s="1858"/>
      <c r="D86" s="1852"/>
      <c r="E86" s="1862"/>
      <c r="F86" s="3228"/>
      <c r="G86" s="3207"/>
      <c r="H86" s="3232"/>
      <c r="I86" s="3233"/>
      <c r="J86" s="3234"/>
      <c r="K86" s="3234"/>
      <c r="L86" s="3226"/>
      <c r="M86" s="2960"/>
      <c r="N86" s="2730"/>
      <c r="O86" s="2730"/>
      <c r="P86" s="2737"/>
      <c r="Q86" s="2730"/>
      <c r="R86" s="2730"/>
      <c r="S86" s="2730"/>
      <c r="T86" s="2730"/>
      <c r="U86" s="2730"/>
      <c r="V86" s="2730"/>
      <c r="W86" s="2730"/>
      <c r="X86" s="2730"/>
      <c r="Y86" s="2730"/>
      <c r="Z86" s="2730"/>
      <c r="AA86" s="2730"/>
      <c r="AB86" s="2730"/>
      <c r="AC86" s="2730"/>
      <c r="AD86" s="2730"/>
      <c r="AE86" s="2739"/>
      <c r="AF86" s="3230"/>
      <c r="AG86" s="3226"/>
      <c r="AH86" s="3226"/>
      <c r="AI86" s="3230"/>
      <c r="AJ86" s="3226"/>
      <c r="AK86" s="3226"/>
      <c r="AL86" s="2680"/>
      <c r="AM86" s="2515"/>
      <c r="AN86" s="2515"/>
      <c r="AO86" s="2515"/>
      <c r="AP86" s="2515"/>
      <c r="AQ86" s="2515"/>
      <c r="AR86" s="2515"/>
      <c r="AS86" s="2515"/>
      <c r="AT86" s="2515"/>
      <c r="AU86" s="2515"/>
      <c r="AV86" s="2515"/>
      <c r="AW86" s="2515"/>
      <c r="AX86" s="2515"/>
      <c r="AY86" s="2515"/>
      <c r="AZ86" s="2515"/>
      <c r="BA86" s="2515"/>
      <c r="BB86" s="2515"/>
      <c r="BC86" s="2515"/>
      <c r="BD86" s="2515"/>
      <c r="BE86" s="2515"/>
      <c r="BF86" s="2515"/>
    </row>
    <row s="62286" customFormat="1" customHeight="1" ht="12">
      <c r="A87" s="1858"/>
      <c r="B87" s="1858"/>
      <c r="C87" s="1858"/>
      <c r="D87" s="1852"/>
      <c r="E87" s="1862"/>
      <c r="F87" s="3229"/>
      <c r="G87" s="1882"/>
      <c r="H87" s="1882"/>
      <c r="I87" s="3227" t="s">
        <v>1999</v>
      </c>
      <c r="J87" s="3227"/>
      <c r="K87" s="3227"/>
      <c r="L87" s="1865"/>
      <c r="M87" s="1865"/>
      <c r="N87" s="1866"/>
      <c r="O87" s="1866"/>
      <c r="P87" s="1866"/>
      <c r="Q87" s="1866"/>
      <c r="R87" s="1866"/>
      <c r="S87" s="1866"/>
      <c r="T87" s="1866"/>
      <c r="U87" s="1866"/>
      <c r="V87" s="1866"/>
      <c r="W87" s="1866"/>
      <c r="X87" s="1866"/>
      <c r="Y87" s="1866"/>
      <c r="Z87" s="1866"/>
      <c r="AA87" s="1866"/>
      <c r="AB87" s="1866"/>
      <c r="AC87" s="1866"/>
      <c r="AD87" s="1866"/>
      <c r="AE87" s="1866"/>
      <c r="AF87" s="1866"/>
      <c r="AG87" s="1865"/>
      <c r="AH87" s="1865"/>
      <c r="AI87" s="1866"/>
      <c r="AJ87" s="1865"/>
      <c r="AK87" s="1866"/>
      <c r="AL87" s="2680"/>
      <c r="AM87" s="2515"/>
      <c r="AN87" s="2515"/>
      <c r="AO87" s="2515"/>
      <c r="AP87" s="2515"/>
      <c r="AQ87" s="2515"/>
      <c r="AR87" s="2515"/>
      <c r="AS87" s="2515"/>
      <c r="AT87" s="2515"/>
      <c r="AU87" s="2515"/>
      <c r="AV87" s="2515"/>
      <c r="AW87" s="2515"/>
      <c r="AX87" s="2515"/>
      <c r="AY87" s="2515"/>
      <c r="AZ87" s="2515"/>
      <c r="BA87" s="2515"/>
      <c r="BB87" s="2515"/>
      <c r="BC87" s="2515"/>
      <c r="BD87" s="2515"/>
      <c r="BE87" s="2515"/>
      <c r="BF87" s="2515"/>
    </row>
    <row r="89" s="62813" customFormat="1" customHeight="1" ht="11.25">
      <c r="A89" s="2507" t="s">
        <v>2000</v>
      </c>
    </row>
    <row r="91" s="62286" customFormat="1" customHeight="1" ht="11.25">
      <c r="A91" s="1858"/>
      <c r="B91" s="1858"/>
      <c r="C91" s="1858"/>
      <c r="D91" s="1852"/>
      <c r="E91" s="1862"/>
      <c r="F91" s="2521"/>
      <c r="G91" s="2522"/>
      <c r="H91" s="2522"/>
      <c r="I91" s="2456"/>
      <c r="J91" s="2456"/>
      <c r="K91" s="2523"/>
      <c r="L91" s="2456"/>
      <c r="M91" s="2522"/>
      <c r="N91" s="3200"/>
      <c r="O91" s="3283">
        <v>1</v>
      </c>
      <c r="P91" s="3202" t="s">
        <v>19</v>
      </c>
      <c r="Q91" s="3205" t="s">
        <v>28</v>
      </c>
      <c r="R91" s="3205" t="s">
        <v>28</v>
      </c>
      <c r="S91" s="3205" t="s">
        <v>28</v>
      </c>
      <c r="T91" s="3205" t="s">
        <v>28</v>
      </c>
      <c r="U91" s="3205" t="s">
        <v>28</v>
      </c>
      <c r="V91" s="3205" t="s">
        <v>28</v>
      </c>
      <c r="W91" s="3205" t="s">
        <v>28</v>
      </c>
      <c r="X91" s="3205" t="s">
        <v>28</v>
      </c>
      <c r="Y91" s="3205"/>
      <c r="Z91" s="1867"/>
      <c r="AA91" s="1868"/>
      <c r="AB91" s="1868"/>
      <c r="AC91" s="1872"/>
      <c r="AD91" s="1872"/>
      <c r="AE91" s="1872"/>
      <c r="AF91" s="2524"/>
      <c r="AG91" s="2451"/>
      <c r="AH91" s="2451"/>
      <c r="AI91" s="2524"/>
      <c r="AJ91" s="2451"/>
      <c r="AK91" s="2679"/>
      <c r="AL91" s="2680"/>
      <c r="AM91" s="2515"/>
      <c r="AN91" s="2515"/>
      <c r="AO91" s="2515"/>
      <c r="AP91" s="2515"/>
      <c r="AQ91" s="2515"/>
      <c r="AR91" s="2515"/>
      <c r="AS91" s="2515"/>
      <c r="AT91" s="2515"/>
      <c r="AU91" s="2515"/>
      <c r="AV91" s="2515"/>
      <c r="AW91" s="2515"/>
      <c r="AX91" s="2515"/>
      <c r="AY91" s="2515"/>
      <c r="AZ91" s="2515"/>
      <c r="BA91" s="2515"/>
      <c r="BB91" s="2515"/>
      <c r="BC91" s="2515"/>
      <c r="BD91" s="2515"/>
      <c r="BE91" s="2515"/>
      <c r="BF91" s="2515"/>
    </row>
    <row s="62286" customFormat="1" customHeight="1" ht="11.25">
      <c r="A92" s="1858"/>
      <c r="B92" s="1858"/>
      <c r="C92" s="1858"/>
      <c r="D92" s="1852"/>
      <c r="E92" s="1862"/>
      <c r="F92" s="2521"/>
      <c r="G92" s="2522"/>
      <c r="H92" s="2522"/>
      <c r="I92" s="2457"/>
      <c r="J92" s="2457"/>
      <c r="K92" s="2523"/>
      <c r="L92" s="2457"/>
      <c r="M92" s="2522"/>
      <c r="N92" s="3200"/>
      <c r="O92" s="3283"/>
      <c r="P92" s="3203"/>
      <c r="Q92" s="3205"/>
      <c r="R92" s="3205"/>
      <c r="S92" s="3206"/>
      <c r="T92" s="3205"/>
      <c r="U92" s="3205"/>
      <c r="V92" s="3205"/>
      <c r="W92" s="3205"/>
      <c r="X92" s="3205"/>
      <c r="Y92" s="3205"/>
      <c r="Z92" s="2520"/>
      <c r="AA92" s="2486">
        <v>1</v>
      </c>
      <c r="AB92" s="1871"/>
      <c r="AC92" s="1861"/>
      <c r="AD92" s="1871">
        <f>AB92</f>
        <v>0</v>
      </c>
      <c r="AE92" s="1416"/>
      <c r="AF92" s="2523"/>
      <c r="AG92" s="2451"/>
      <c r="AH92" s="2451"/>
      <c r="AI92" s="2523"/>
      <c r="AJ92" s="2451"/>
      <c r="AK92" s="2679"/>
      <c r="AL92" s="2680"/>
      <c r="AM92" s="2515"/>
      <c r="AN92" s="2515"/>
      <c r="AO92" s="2515"/>
      <c r="AP92" s="2515"/>
      <c r="AQ92" s="2515"/>
      <c r="AR92" s="2515"/>
      <c r="AS92" s="2515"/>
      <c r="AT92" s="2515"/>
      <c r="AU92" s="2515"/>
      <c r="AV92" s="2515"/>
      <c r="AW92" s="2515"/>
      <c r="AX92" s="2515"/>
      <c r="AY92" s="2515"/>
      <c r="AZ92" s="2515"/>
      <c r="BA92" s="2515"/>
      <c r="BB92" s="2515"/>
      <c r="BC92" s="2515"/>
      <c r="BD92" s="2515"/>
      <c r="BE92" s="2515"/>
      <c r="BF92" s="2515"/>
    </row>
    <row s="62286" customFormat="1" customHeight="1" ht="11.25">
      <c r="A93" s="1858"/>
      <c r="B93" s="1858"/>
      <c r="C93" s="1858"/>
      <c r="D93" s="1852"/>
      <c r="E93" s="1862"/>
      <c r="F93" s="2521"/>
      <c r="G93" s="2522"/>
      <c r="H93" s="2522"/>
      <c r="I93" s="2458"/>
      <c r="J93" s="2458"/>
      <c r="K93" s="2523"/>
      <c r="L93" s="2458"/>
      <c r="M93" s="2522"/>
      <c r="N93" s="3200"/>
      <c r="O93" s="3283"/>
      <c r="P93" s="3204"/>
      <c r="Q93" s="3205"/>
      <c r="R93" s="3205"/>
      <c r="S93" s="3206"/>
      <c r="T93" s="3205"/>
      <c r="U93" s="3205"/>
      <c r="V93" s="3205"/>
      <c r="W93" s="3205"/>
      <c r="X93" s="3205"/>
      <c r="Y93" s="3205"/>
      <c r="Z93" s="1867"/>
      <c r="AA93" s="1868"/>
      <c r="AB93" s="1933" t="s">
        <v>2001</v>
      </c>
      <c r="AC93" s="1872"/>
      <c r="AD93" s="1872"/>
      <c r="AE93" s="1872"/>
      <c r="AF93" s="2525"/>
      <c r="AG93" s="2451"/>
      <c r="AH93" s="2451"/>
      <c r="AI93" s="2525"/>
      <c r="AJ93" s="2451"/>
      <c r="AK93" s="2679"/>
      <c r="AL93" s="2680"/>
      <c r="AM93" s="2515"/>
      <c r="AN93" s="2515"/>
      <c r="AO93" s="2515"/>
      <c r="AP93" s="2515"/>
      <c r="AQ93" s="2515"/>
      <c r="AR93" s="2515"/>
      <c r="AS93" s="2515"/>
      <c r="AT93" s="2515"/>
      <c r="AU93" s="2515"/>
      <c r="AV93" s="2515"/>
      <c r="AW93" s="2515"/>
      <c r="AX93" s="2515"/>
      <c r="AY93" s="2515"/>
      <c r="AZ93" s="2515"/>
      <c r="BA93" s="2515"/>
      <c r="BB93" s="2515"/>
      <c r="BC93" s="2515"/>
      <c r="BD93" s="2515"/>
      <c r="BE93" s="2515"/>
      <c r="BF93" s="2515"/>
    </row>
    <row r="95" s="62813" customFormat="1" customHeight="1" ht="11.25">
      <c r="A95" s="2507" t="s">
        <v>2002</v>
      </c>
    </row>
    <row r="97" s="62286" customFormat="1" customHeight="1" ht="11.25">
      <c r="A97" s="1858"/>
      <c r="B97" s="1858"/>
      <c r="C97" s="1858"/>
      <c r="D97" s="1852"/>
      <c r="E97" s="1862"/>
      <c r="F97" s="2522"/>
      <c r="G97" s="2522"/>
      <c r="H97" s="2522"/>
      <c r="I97" s="2522"/>
      <c r="J97" s="2522"/>
      <c r="K97" s="2522"/>
      <c r="L97" s="2522"/>
      <c r="M97" s="2522"/>
      <c r="N97" s="2522"/>
      <c r="O97" s="2522"/>
      <c r="P97" s="2522"/>
      <c r="Q97" s="2522"/>
      <c r="R97" s="2522"/>
      <c r="S97" s="2522"/>
      <c r="T97" s="2522"/>
      <c r="U97" s="2522"/>
      <c r="V97" s="2522"/>
      <c r="W97" s="2522"/>
      <c r="X97" s="2522"/>
      <c r="Y97" s="2522"/>
      <c r="Z97" s="2526"/>
      <c r="AA97" s="2506">
        <v>1</v>
      </c>
      <c r="AB97" s="1871"/>
      <c r="AC97" s="1861"/>
      <c r="AD97" s="1871">
        <f>AB97</f>
        <v>0</v>
      </c>
      <c r="AE97" s="1861"/>
      <c r="AF97" s="2523"/>
      <c r="AG97" s="2451"/>
      <c r="AH97" s="2451"/>
      <c r="AI97" s="2523"/>
      <c r="AJ97" s="2451"/>
      <c r="AK97" s="2679"/>
      <c r="AL97" s="2680"/>
      <c r="AM97" s="2515"/>
      <c r="AN97" s="2515"/>
      <c r="AO97" s="2515"/>
      <c r="AP97" s="2515"/>
      <c r="AQ97" s="2515"/>
      <c r="AR97" s="2515"/>
      <c r="AS97" s="2515"/>
      <c r="AT97" s="2515"/>
      <c r="AU97" s="2515"/>
      <c r="AV97" s="2515"/>
      <c r="AW97" s="2515"/>
      <c r="AX97" s="2515"/>
      <c r="AY97" s="2515"/>
      <c r="AZ97" s="2515"/>
      <c r="BA97" s="2515"/>
      <c r="BB97" s="2515"/>
      <c r="BC97" s="2515"/>
      <c r="BD97" s="2515"/>
      <c r="BE97" s="2515"/>
      <c r="BF97" s="2515"/>
    </row>
    <row r="99" s="62813" customFormat="1" customHeight="1" ht="11.25">
      <c r="A99" s="2507" t="s">
        <v>2003</v>
      </c>
    </row>
    <row r="101" s="62286" customFormat="1" customHeight="1" ht="11.25">
      <c r="A101" s="1858"/>
      <c r="B101" s="1858"/>
      <c r="C101" s="1858"/>
      <c r="D101" s="1852"/>
      <c r="E101" s="1862"/>
      <c r="F101" s="2521"/>
      <c r="G101" s="2522"/>
      <c r="H101" s="3207" t="s">
        <v>118</v>
      </c>
      <c r="I101" s="3208"/>
      <c r="J101" s="3177"/>
      <c r="K101" s="3209"/>
      <c r="L101" s="2799" t="s">
        <v>19</v>
      </c>
      <c r="M101" s="2800"/>
      <c r="N101" s="2678"/>
      <c r="O101" s="1869" t="s">
        <v>451</v>
      </c>
      <c r="P101" s="1870"/>
      <c r="Q101" s="1870"/>
      <c r="R101" s="1870"/>
      <c r="S101" s="1870"/>
      <c r="T101" s="1870"/>
      <c r="U101" s="1870"/>
      <c r="V101" s="1870"/>
      <c r="W101" s="1870"/>
      <c r="X101" s="1870"/>
      <c r="Y101" s="1870"/>
      <c r="Z101" s="1870"/>
      <c r="AA101" s="1870"/>
      <c r="AB101" s="1870"/>
      <c r="AC101" s="1870"/>
      <c r="AD101" s="1870"/>
      <c r="AE101" s="1870"/>
      <c r="AF101" s="3198"/>
      <c r="AG101" s="3199"/>
      <c r="AH101" s="3199"/>
      <c r="AI101" s="3198"/>
      <c r="AJ101" s="3199"/>
      <c r="AK101" s="3199"/>
      <c r="AL101" s="2680"/>
      <c r="AM101" s="2515"/>
      <c r="AN101" s="2515"/>
      <c r="AO101" s="2515"/>
      <c r="AP101" s="2515"/>
      <c r="AQ101" s="2515"/>
      <c r="AR101" s="2515"/>
      <c r="AS101" s="2515"/>
      <c r="AT101" s="2515"/>
      <c r="AU101" s="2515"/>
      <c r="AV101" s="2515"/>
      <c r="AW101" s="2515"/>
      <c r="AX101" s="2515"/>
      <c r="AY101" s="2515"/>
      <c r="AZ101" s="2515"/>
      <c r="BA101" s="2515"/>
      <c r="BB101" s="2515"/>
      <c r="BC101" s="2515"/>
      <c r="BD101" s="2515"/>
      <c r="BE101" s="2515"/>
      <c r="BF101" s="2515"/>
    </row>
    <row s="62286" customFormat="1" customHeight="1" ht="11.25">
      <c r="A102" s="1858"/>
      <c r="B102" s="1858"/>
      <c r="C102" s="1858"/>
      <c r="D102" s="1852"/>
      <c r="E102" s="1862"/>
      <c r="F102" s="2521"/>
      <c r="G102" s="2522"/>
      <c r="H102" s="3207"/>
      <c r="I102" s="3208"/>
      <c r="J102" s="3177"/>
      <c r="K102" s="3209"/>
      <c r="L102" s="2799"/>
      <c r="M102" s="2800"/>
      <c r="N102" s="3200"/>
      <c r="O102" s="3201">
        <v>1</v>
      </c>
      <c r="P102" s="3202" t="s">
        <v>19</v>
      </c>
      <c r="Q102" s="3205" t="s">
        <v>28</v>
      </c>
      <c r="R102" s="3205" t="s">
        <v>28</v>
      </c>
      <c r="S102" s="3205" t="s">
        <v>28</v>
      </c>
      <c r="T102" s="3205" t="s">
        <v>28</v>
      </c>
      <c r="U102" s="3205" t="s">
        <v>28</v>
      </c>
      <c r="V102" s="3205" t="s">
        <v>28</v>
      </c>
      <c r="W102" s="3205" t="s">
        <v>28</v>
      </c>
      <c r="X102" s="3205" t="s">
        <v>28</v>
      </c>
      <c r="Y102" s="3205"/>
      <c r="Z102" s="1867"/>
      <c r="AA102" s="1868"/>
      <c r="AB102" s="1868"/>
      <c r="AC102" s="1872"/>
      <c r="AD102" s="1872"/>
      <c r="AE102" s="1873"/>
      <c r="AF102" s="3198"/>
      <c r="AG102" s="3199"/>
      <c r="AH102" s="3199"/>
      <c r="AI102" s="3198"/>
      <c r="AJ102" s="3199"/>
      <c r="AK102" s="3199"/>
      <c r="AL102" s="2680"/>
      <c r="AM102" s="2515"/>
      <c r="AN102" s="2515"/>
      <c r="AO102" s="2515"/>
      <c r="AP102" s="2515"/>
      <c r="AQ102" s="2515"/>
      <c r="AR102" s="2515"/>
      <c r="AS102" s="2515"/>
      <c r="AT102" s="2515"/>
      <c r="AU102" s="2515"/>
      <c r="AV102" s="2515"/>
      <c r="AW102" s="2515"/>
      <c r="AX102" s="2515"/>
      <c r="AY102" s="2515"/>
      <c r="AZ102" s="2515"/>
      <c r="BA102" s="2515"/>
      <c r="BB102" s="2515"/>
      <c r="BC102" s="2515"/>
      <c r="BD102" s="2515"/>
      <c r="BE102" s="2515"/>
      <c r="BF102" s="2515"/>
    </row>
    <row s="62286" customFormat="1" customHeight="1" ht="11.25">
      <c r="A103" s="1858"/>
      <c r="B103" s="1858"/>
      <c r="C103" s="1858"/>
      <c r="D103" s="1852"/>
      <c r="E103" s="1862"/>
      <c r="F103" s="2521"/>
      <c r="G103" s="2522"/>
      <c r="H103" s="3207"/>
      <c r="I103" s="3208"/>
      <c r="J103" s="3177"/>
      <c r="K103" s="3209"/>
      <c r="L103" s="2799"/>
      <c r="M103" s="2800"/>
      <c r="N103" s="3200"/>
      <c r="O103" s="3201"/>
      <c r="P103" s="3203"/>
      <c r="Q103" s="3205"/>
      <c r="R103" s="3205"/>
      <c r="S103" s="3206"/>
      <c r="T103" s="3205"/>
      <c r="U103" s="3205"/>
      <c r="V103" s="3205"/>
      <c r="W103" s="3205"/>
      <c r="X103" s="3205"/>
      <c r="Y103" s="3205"/>
      <c r="Z103" s="2520"/>
      <c r="AA103" s="2486">
        <v>1</v>
      </c>
      <c r="AB103" s="1871"/>
      <c r="AC103" s="1861"/>
      <c r="AD103" s="1871">
        <f>AB103</f>
        <v>0</v>
      </c>
      <c r="AE103" s="1861"/>
      <c r="AF103" s="3198"/>
      <c r="AG103" s="3199"/>
      <c r="AH103" s="3199"/>
      <c r="AI103" s="3198"/>
      <c r="AJ103" s="3199"/>
      <c r="AK103" s="3199"/>
      <c r="AL103" s="2680"/>
      <c r="AM103" s="2515"/>
      <c r="AN103" s="2515"/>
      <c r="AO103" s="2515"/>
      <c r="AP103" s="2515"/>
      <c r="AQ103" s="2515"/>
      <c r="AR103" s="2515"/>
      <c r="AS103" s="2515"/>
      <c r="AT103" s="2515"/>
      <c r="AU103" s="2515"/>
      <c r="AV103" s="2515"/>
      <c r="AW103" s="2515"/>
      <c r="AX103" s="2515"/>
      <c r="AY103" s="2515"/>
      <c r="AZ103" s="2515"/>
      <c r="BA103" s="2515"/>
      <c r="BB103" s="2515"/>
      <c r="BC103" s="2515"/>
      <c r="BD103" s="2515"/>
      <c r="BE103" s="2515"/>
      <c r="BF103" s="2515"/>
    </row>
    <row s="62286" customFormat="1" customHeight="1" ht="11.25">
      <c r="A104" s="1858"/>
      <c r="B104" s="1858"/>
      <c r="C104" s="1858"/>
      <c r="D104" s="1852"/>
      <c r="E104" s="1862"/>
      <c r="F104" s="2521"/>
      <c r="G104" s="2522"/>
      <c r="H104" s="3207"/>
      <c r="I104" s="3208"/>
      <c r="J104" s="3177"/>
      <c r="K104" s="3209"/>
      <c r="L104" s="2799"/>
      <c r="M104" s="2800"/>
      <c r="N104" s="3200"/>
      <c r="O104" s="3201"/>
      <c r="P104" s="3204"/>
      <c r="Q104" s="3205"/>
      <c r="R104" s="3205"/>
      <c r="S104" s="3206"/>
      <c r="T104" s="3205"/>
      <c r="U104" s="3205"/>
      <c r="V104" s="3205"/>
      <c r="W104" s="3205"/>
      <c r="X104" s="3205"/>
      <c r="Y104" s="3205"/>
      <c r="Z104" s="1867"/>
      <c r="AA104" s="1868"/>
      <c r="AB104" s="1933" t="s">
        <v>2001</v>
      </c>
      <c r="AC104" s="1872"/>
      <c r="AD104" s="1872"/>
      <c r="AE104" s="1874"/>
      <c r="AF104" s="3198"/>
      <c r="AG104" s="3199"/>
      <c r="AH104" s="3199"/>
      <c r="AI104" s="3198"/>
      <c r="AJ104" s="3199"/>
      <c r="AK104" s="3199"/>
      <c r="AL104" s="2680"/>
      <c r="AM104" s="2515"/>
      <c r="AN104" s="2515"/>
      <c r="AO104" s="2515"/>
      <c r="AP104" s="2515"/>
      <c r="AQ104" s="2515"/>
      <c r="AR104" s="2515"/>
      <c r="AS104" s="2515"/>
      <c r="AT104" s="2515"/>
      <c r="AU104" s="2515"/>
      <c r="AV104" s="2515"/>
      <c r="AW104" s="2515"/>
      <c r="AX104" s="2515"/>
      <c r="AY104" s="2515"/>
      <c r="AZ104" s="2515"/>
      <c r="BA104" s="2515"/>
      <c r="BB104" s="2515"/>
      <c r="BC104" s="2515"/>
      <c r="BD104" s="2515"/>
      <c r="BE104" s="2515"/>
      <c r="BF104" s="2515"/>
    </row>
    <row s="62286" customFormat="1" customHeight="1" ht="11.25">
      <c r="A105" s="1858"/>
      <c r="B105" s="1858"/>
      <c r="C105" s="1858"/>
      <c r="D105" s="1852"/>
      <c r="E105" s="1862"/>
      <c r="F105" s="2521"/>
      <c r="G105" s="2522"/>
      <c r="H105" s="3207"/>
      <c r="I105" s="3208"/>
      <c r="J105" s="3177"/>
      <c r="K105" s="3209"/>
      <c r="L105" s="2799"/>
      <c r="M105" s="2800"/>
      <c r="N105" s="1867"/>
      <c r="O105" s="1868"/>
      <c r="P105" s="1860" t="s">
        <v>2004</v>
      </c>
      <c r="Q105" s="1868"/>
      <c r="R105" s="1868"/>
      <c r="S105" s="1868"/>
      <c r="T105" s="1868"/>
      <c r="U105" s="1868"/>
      <c r="V105" s="1868"/>
      <c r="W105" s="1868"/>
      <c r="X105" s="1868"/>
      <c r="Y105" s="1868"/>
      <c r="Z105" s="1868"/>
      <c r="AA105" s="1868"/>
      <c r="AB105" s="1868"/>
      <c r="AC105" s="1868"/>
      <c r="AD105" s="1868"/>
      <c r="AE105" s="1875"/>
      <c r="AF105" s="3198"/>
      <c r="AG105" s="3199"/>
      <c r="AH105" s="3199"/>
      <c r="AI105" s="3198"/>
      <c r="AJ105" s="3199"/>
      <c r="AK105" s="3199"/>
      <c r="AL105" s="2680"/>
      <c r="AM105" s="2515"/>
      <c r="AN105" s="2515"/>
      <c r="AO105" s="2515"/>
      <c r="AP105" s="2515"/>
      <c r="AQ105" s="2515"/>
      <c r="AR105" s="2515"/>
      <c r="AS105" s="2515"/>
      <c r="AT105" s="2515"/>
      <c r="AU105" s="2515"/>
      <c r="AV105" s="2515"/>
      <c r="AW105" s="2515"/>
      <c r="AX105" s="2515"/>
      <c r="AY105" s="2515"/>
      <c r="AZ105" s="2515"/>
      <c r="BA105" s="2515"/>
      <c r="BB105" s="2515"/>
      <c r="BC105" s="2515"/>
      <c r="BD105" s="2515"/>
      <c r="BE105" s="2515"/>
      <c r="BF105" s="2515"/>
    </row>
    <row r="107" s="62813" customFormat="1" customHeight="1" ht="11.25">
      <c r="A107" s="2507" t="s">
        <v>2005</v>
      </c>
    </row>
    <row customHeight="1" ht="17.25"/>
    <row s="62038" customFormat="1" customHeight="1" ht="21">
      <c r="A109" s="1859"/>
      <c r="B109" s="1632"/>
      <c r="D109" s="1616"/>
      <c r="E109" s="1631" t="s">
        <v>28</v>
      </c>
      <c r="F109" s="1813">
        <f>INDEX(IP_MAIN_LIST_NAME_IP,MATCH(A109,IP_MAIN_LIST_IP_ID,0))&amp;" ("&amp;INDEX(IP_MAIN_START_DATE,MATCH(A109,IP_MAIN_LIST_IP_ID,0))&amp;"-"&amp;INDEX(IP_MAIN_END_DATE,MATCH(A109,IP_MAIN_LIST_IP_ID,0))&amp;")"</f>
      </c>
      <c r="G109" s="1895"/>
      <c r="H109" s="1896"/>
      <c r="I109" s="1896"/>
      <c r="J109" s="1896"/>
      <c r="K109" s="1896"/>
      <c r="L109" s="1896"/>
      <c r="M109" s="1896"/>
      <c r="N109" s="1896"/>
      <c r="O109" s="1895"/>
      <c r="P109" s="1895"/>
      <c r="Q109" s="1895"/>
      <c r="R109" s="1895"/>
      <c r="S109" s="1895"/>
      <c r="T109" s="1895"/>
      <c r="U109" s="1897"/>
      <c r="V109" s="1897"/>
      <c r="W109" s="1897"/>
      <c r="X109" s="1897"/>
      <c r="Y109" s="1897"/>
      <c r="Z109" s="1897"/>
      <c r="AA109" s="1897"/>
      <c r="AB109" s="1895"/>
      <c r="AC109" s="1896"/>
      <c r="AD109" s="1896"/>
      <c r="AE109" s="1896"/>
      <c r="AF109" s="1896"/>
      <c r="AG109" s="1896"/>
      <c r="AH109" s="1896"/>
      <c r="AI109" s="1896"/>
      <c r="AJ109" s="1896"/>
      <c r="AK109" s="1896"/>
      <c r="AL109" s="1896"/>
      <c r="AM109" s="1896"/>
      <c r="AN109" s="1896"/>
      <c r="AO109" s="1896"/>
      <c r="AP109" s="1896"/>
      <c r="AQ109" s="1896"/>
      <c r="AR109" s="1896"/>
      <c r="AS109" s="1896"/>
      <c r="AT109" s="1896"/>
      <c r="AU109" s="1896"/>
      <c r="AV109" s="1896"/>
      <c r="AW109" s="1896"/>
      <c r="AX109" s="1896"/>
      <c r="AY109" s="1896"/>
      <c r="AZ109" s="1896"/>
      <c r="BA109" s="1896"/>
      <c r="BB109" s="1896"/>
      <c r="BC109" s="1896"/>
      <c r="BD109" s="1896"/>
      <c r="BE109" s="1896"/>
      <c r="BF109" s="1896"/>
      <c r="BG109" s="1896"/>
      <c r="BH109" s="1896"/>
      <c r="BI109" s="1896"/>
      <c r="BJ109" s="1896"/>
      <c r="BK109" s="1896"/>
      <c r="BL109" s="1896"/>
      <c r="BM109" s="1896"/>
      <c r="BN109" s="1896"/>
      <c r="BO109" s="1896"/>
      <c r="BP109" s="1896"/>
      <c r="BQ109" s="1896"/>
      <c r="BR109" s="1896"/>
      <c r="BS109" s="1896"/>
      <c r="BT109" s="1896"/>
      <c r="BU109" s="1896"/>
      <c r="BV109" s="1896"/>
      <c r="BW109" s="1896"/>
      <c r="BX109" s="1896"/>
      <c r="BY109" s="1896"/>
      <c r="BZ109" s="1896"/>
      <c r="CA109" s="1896"/>
      <c r="CB109" s="1896"/>
      <c r="CC109" s="1896"/>
      <c r="CD109" s="1896"/>
      <c r="CE109" s="1896"/>
      <c r="CF109" s="1896"/>
      <c r="CG109" s="1896"/>
      <c r="CH109" s="1896"/>
      <c r="CI109" s="1896"/>
      <c r="CJ109" s="1896"/>
      <c r="CK109" s="1896"/>
      <c r="CL109" s="1898"/>
      <c r="CM109" s="1898"/>
      <c r="CN109" s="1898"/>
      <c r="CO109" s="1898"/>
      <c r="CP109" s="1898"/>
      <c r="CQ109" s="1898"/>
      <c r="CR109" s="1898"/>
      <c r="CS109" s="1898"/>
      <c r="CT109" s="1898"/>
      <c r="CU109" s="1898"/>
      <c r="CV109" s="1898"/>
      <c r="CW109" s="1898"/>
      <c r="CX109" s="1898"/>
      <c r="CY109" s="1898"/>
      <c r="CZ109" s="1898"/>
      <c r="DA109" s="1898"/>
      <c r="DB109" s="1898"/>
      <c r="DC109" s="1898"/>
      <c r="DD109" s="1898"/>
      <c r="DE109" s="1898"/>
      <c r="DF109" s="1898"/>
      <c r="DG109" s="1898"/>
      <c r="DH109" s="1898"/>
      <c r="DI109" s="1898"/>
      <c r="DJ109" s="1898"/>
      <c r="DK109" s="1898"/>
      <c r="DL109" s="1898"/>
      <c r="DM109" s="1898"/>
      <c r="DN109" s="1898"/>
      <c r="DO109" s="1898"/>
      <c r="DP109" s="1898"/>
      <c r="DQ109" s="1898"/>
      <c r="DR109" s="1898"/>
      <c r="DS109" s="1898"/>
      <c r="DT109" s="1898"/>
      <c r="DU109" s="1898"/>
      <c r="DV109" s="1898"/>
      <c r="DW109" s="1898"/>
      <c r="DX109" s="1898"/>
      <c r="DY109" s="1898"/>
      <c r="DZ109" s="1898"/>
      <c r="EA109" s="1898"/>
      <c r="EB109" s="1898"/>
      <c r="EC109" s="1898"/>
      <c r="ED109" s="1898"/>
      <c r="EE109" s="1898"/>
      <c r="EF109" s="1898"/>
      <c r="EG109" s="1898"/>
      <c r="EH109" s="1898"/>
      <c r="EI109" s="1898"/>
      <c r="EJ109" s="1898"/>
      <c r="EK109" s="1898"/>
      <c r="EL109" s="1898"/>
      <c r="EM109" s="1898"/>
      <c r="EN109" s="1898"/>
      <c r="EO109" s="1898"/>
      <c r="EP109" s="1898"/>
      <c r="EQ109" s="1898"/>
      <c r="ER109" s="1898"/>
      <c r="ES109" s="1898"/>
      <c r="ET109" s="1898"/>
      <c r="EU109" s="1898"/>
      <c r="EV109" s="1898"/>
      <c r="EW109" s="1898"/>
      <c r="EX109" s="1898"/>
      <c r="EY109" s="1898"/>
      <c r="EZ109" s="1898"/>
      <c r="FA109" s="1898"/>
      <c r="FB109" s="1898"/>
      <c r="FC109" s="1898"/>
      <c r="FD109" s="1898"/>
      <c r="FE109" s="1898"/>
      <c r="FF109" s="1898"/>
      <c r="FG109" s="1898"/>
      <c r="FH109" s="1898"/>
      <c r="FI109" s="1898"/>
      <c r="FJ109" s="1898"/>
      <c r="FK109" s="1898"/>
      <c r="FL109" s="1898"/>
      <c r="FM109" s="1898"/>
      <c r="FN109" s="1898"/>
      <c r="FO109" s="1898"/>
      <c r="FP109" s="1898"/>
      <c r="FQ109" s="1898"/>
      <c r="FR109" s="1898"/>
      <c r="FS109" s="1898"/>
      <c r="FT109" s="1898"/>
      <c r="FU109" s="1898"/>
      <c r="FV109" s="1899"/>
      <c r="FW109" s="1893"/>
      <c r="FX109" s="1894"/>
    </row>
    <row s="62038" customFormat="1" customHeight="1" ht="24.75">
      <c r="B110" s="1615"/>
      <c r="C110" s="1616"/>
      <c r="D110" s="1616"/>
      <c r="E110" s="2527"/>
      <c r="F110" s="1900">
        <v>1</v>
      </c>
      <c r="G110" s="1901"/>
      <c r="H110" s="1902"/>
      <c r="I110" s="2674"/>
      <c r="J110" s="1903"/>
      <c r="K110" s="1903"/>
      <c r="L110" s="1903"/>
      <c r="M110" s="1903"/>
      <c r="N110" s="1903"/>
      <c r="O110" s="1904"/>
      <c r="P110" s="1904"/>
      <c r="Q110" s="1904"/>
      <c r="R110" s="1904"/>
      <c r="S110" s="1904"/>
      <c r="T110" s="1904"/>
      <c r="U110" s="1904"/>
      <c r="V110" s="1904"/>
      <c r="W110" s="1904"/>
      <c r="X110" s="1904"/>
      <c r="Y110" s="1904"/>
      <c r="Z110" s="1904"/>
      <c r="AA110" s="1904"/>
      <c r="AB110" s="1904"/>
      <c r="AC110" s="1903"/>
      <c r="AD110" s="1903"/>
      <c r="AE110" s="1903"/>
      <c r="AF110" s="1903"/>
      <c r="AG110" s="1903"/>
      <c r="AH110" s="1903"/>
      <c r="AI110" s="1903"/>
      <c r="AJ110" s="1903"/>
      <c r="AK110" s="1903"/>
      <c r="AL110" s="1903"/>
      <c r="AM110" s="1903"/>
      <c r="AN110" s="1903"/>
      <c r="AO110" s="1903"/>
      <c r="AP110" s="1903"/>
      <c r="AQ110" s="1903"/>
      <c r="AR110" s="1903"/>
      <c r="AS110" s="1903"/>
      <c r="AT110" s="1903"/>
      <c r="AU110" s="1903"/>
      <c r="AV110" s="1903"/>
      <c r="AW110" s="1903"/>
      <c r="AX110" s="1903"/>
      <c r="AY110" s="1903"/>
      <c r="AZ110" s="1903"/>
      <c r="BA110" s="1903"/>
      <c r="BB110" s="1903"/>
      <c r="BC110" s="1903"/>
      <c r="BD110" s="1903"/>
      <c r="BE110" s="1903"/>
      <c r="BF110" s="1903"/>
      <c r="BG110" s="1903"/>
      <c r="BH110" s="1903"/>
      <c r="BI110" s="1903"/>
      <c r="BJ110" s="1903"/>
      <c r="BK110" s="1903"/>
      <c r="BL110" s="1903"/>
      <c r="BM110" s="1903"/>
      <c r="BN110" s="1903"/>
      <c r="BO110" s="1903"/>
      <c r="BP110" s="1903"/>
      <c r="BQ110" s="1903"/>
      <c r="BR110" s="1903"/>
      <c r="BS110" s="1903"/>
      <c r="BT110" s="1904"/>
      <c r="BU110" s="1904"/>
      <c r="BV110" s="1904"/>
      <c r="BW110" s="1904"/>
      <c r="BX110" s="1904"/>
      <c r="BY110" s="1904"/>
      <c r="BZ110" s="1904"/>
      <c r="CA110" s="1904"/>
      <c r="CB110" s="1904"/>
      <c r="CC110" s="1904"/>
      <c r="CD110" s="1904"/>
      <c r="CE110" s="1904"/>
      <c r="CF110" s="1904"/>
      <c r="CG110" s="1904"/>
      <c r="CH110" s="1904"/>
      <c r="CI110" s="1904"/>
      <c r="CJ110" s="1904"/>
      <c r="CK110" s="1904"/>
      <c r="CL110" s="1903"/>
      <c r="CM110" s="1903"/>
      <c r="CN110" s="1903"/>
      <c r="CO110" s="1903"/>
      <c r="CP110" s="1903"/>
      <c r="CQ110" s="1903"/>
      <c r="CR110" s="1903"/>
      <c r="CS110" s="1903"/>
      <c r="CT110" s="1903"/>
      <c r="CU110" s="1903"/>
      <c r="CV110" s="1903"/>
      <c r="CW110" s="1903"/>
      <c r="CX110" s="1903"/>
      <c r="CY110" s="1904"/>
      <c r="CZ110" s="1904"/>
      <c r="DA110" s="1904"/>
      <c r="DB110" s="1904"/>
      <c r="DC110" s="1904"/>
      <c r="DD110" s="1904"/>
      <c r="DE110" s="1904"/>
      <c r="DF110" s="1904"/>
      <c r="DG110" s="1904"/>
      <c r="DH110" s="1904"/>
      <c r="DI110" s="1904"/>
      <c r="DJ110" s="1904"/>
      <c r="DK110" s="1903"/>
      <c r="DL110" s="1903"/>
      <c r="DM110" s="1903"/>
      <c r="DN110" s="1903"/>
      <c r="DO110" s="1903"/>
      <c r="DP110" s="1903"/>
      <c r="DQ110" s="1903"/>
      <c r="DR110" s="1903"/>
      <c r="DS110" s="1903"/>
      <c r="DT110" s="1903"/>
      <c r="DU110" s="1903"/>
      <c r="DV110" s="1903"/>
      <c r="DW110" s="1903"/>
      <c r="DX110" s="1903"/>
      <c r="DY110" s="1903"/>
      <c r="DZ110" s="1903"/>
      <c r="EA110" s="1903"/>
      <c r="EB110" s="1903"/>
      <c r="EC110" s="1903"/>
      <c r="ED110" s="1903"/>
      <c r="EE110" s="1903"/>
      <c r="EF110" s="1903"/>
      <c r="EG110" s="1903"/>
      <c r="EH110" s="1903"/>
      <c r="EI110" s="1903"/>
      <c r="EJ110" s="1903"/>
      <c r="EK110" s="1903"/>
      <c r="EL110" s="1903"/>
      <c r="EM110" s="1903"/>
      <c r="EN110" s="1903"/>
      <c r="EO110" s="1903"/>
      <c r="EP110" s="1903"/>
      <c r="EQ110" s="1903"/>
      <c r="ER110" s="1903"/>
      <c r="ES110" s="1903"/>
      <c r="ET110" s="1903"/>
      <c r="EU110" s="1903"/>
      <c r="EV110" s="1903"/>
      <c r="EW110" s="1903"/>
      <c r="EX110" s="1903"/>
      <c r="EY110" s="1903"/>
      <c r="EZ110" s="1903"/>
      <c r="FA110" s="1903"/>
      <c r="FB110" s="1903"/>
      <c r="FC110" s="1903"/>
      <c r="FD110" s="1903"/>
      <c r="FE110" s="1903"/>
      <c r="FF110" s="1903"/>
      <c r="FG110" s="1903"/>
      <c r="FH110" s="1903"/>
      <c r="FI110" s="1903"/>
      <c r="FJ110" s="1903"/>
      <c r="FK110" s="1903"/>
      <c r="FL110" s="1903"/>
      <c r="FM110" s="1903"/>
      <c r="FN110" s="1903"/>
      <c r="FO110" s="1903"/>
      <c r="FP110" s="1903"/>
      <c r="FQ110" s="1903"/>
      <c r="FR110" s="1903"/>
      <c r="FS110" s="1903"/>
      <c r="FT110" s="1903"/>
      <c r="FU110" s="1903"/>
      <c r="FV110" s="1903"/>
      <c r="FW110" s="1903"/>
      <c r="FX110" s="1894"/>
    </row>
    <row s="62038" customFormat="1" customHeight="1" ht="12">
      <c r="A111" s="1616"/>
      <c r="B111" s="1615"/>
      <c r="C111" s="1616"/>
      <c r="D111" s="1616"/>
      <c r="E111" s="1616"/>
      <c r="F111" s="1905"/>
      <c r="G111" s="2492" t="s">
        <v>2006</v>
      </c>
      <c r="H111" s="1906"/>
      <c r="I111" s="1906"/>
      <c r="J111" s="1906"/>
      <c r="K111" s="1906"/>
      <c r="L111" s="1906"/>
      <c r="M111" s="1906"/>
      <c r="N111" s="1906"/>
      <c r="O111" s="1906"/>
      <c r="P111" s="1906"/>
      <c r="Q111" s="1906"/>
      <c r="R111" s="1906"/>
      <c r="S111" s="1906"/>
      <c r="T111" s="1906"/>
      <c r="U111" s="1906"/>
      <c r="V111" s="1906"/>
      <c r="W111" s="1906"/>
      <c r="X111" s="1906"/>
      <c r="Y111" s="1906"/>
      <c r="Z111" s="1906"/>
      <c r="AA111" s="1906"/>
      <c r="AB111" s="1906"/>
      <c r="AC111" s="1906"/>
      <c r="AD111" s="1906"/>
      <c r="AE111" s="1906"/>
      <c r="AF111" s="1906"/>
      <c r="AG111" s="1906"/>
      <c r="AH111" s="1906"/>
      <c r="AI111" s="1906"/>
      <c r="AJ111" s="1906"/>
      <c r="AK111" s="1906"/>
      <c r="AL111" s="1906"/>
      <c r="AM111" s="1906"/>
      <c r="AN111" s="1906"/>
      <c r="AO111" s="1906"/>
      <c r="AP111" s="1906"/>
      <c r="AQ111" s="1906"/>
      <c r="AR111" s="1906"/>
      <c r="AS111" s="1906"/>
      <c r="AT111" s="1906"/>
      <c r="AU111" s="1906"/>
      <c r="AV111" s="1906"/>
      <c r="AW111" s="1906"/>
      <c r="AX111" s="1906"/>
      <c r="AY111" s="1906"/>
      <c r="AZ111" s="1906"/>
      <c r="BA111" s="1906"/>
      <c r="BB111" s="1906"/>
      <c r="BC111" s="1906"/>
      <c r="BD111" s="1906"/>
      <c r="BE111" s="1906"/>
      <c r="BF111" s="1906"/>
      <c r="BG111" s="1906"/>
      <c r="BH111" s="1906"/>
      <c r="BI111" s="1906"/>
      <c r="BJ111" s="1906"/>
      <c r="BK111" s="1906"/>
      <c r="BL111" s="1906"/>
      <c r="BM111" s="1906"/>
      <c r="BN111" s="1906"/>
      <c r="BO111" s="1906"/>
      <c r="BP111" s="1906"/>
      <c r="BQ111" s="1906"/>
      <c r="BR111" s="1906"/>
      <c r="BS111" s="1906"/>
      <c r="BT111" s="1906"/>
      <c r="BU111" s="1906"/>
      <c r="BV111" s="1906"/>
      <c r="BW111" s="1906"/>
      <c r="BX111" s="1906"/>
      <c r="BY111" s="1906"/>
      <c r="BZ111" s="1906"/>
      <c r="CA111" s="1906"/>
      <c r="CB111" s="1906"/>
      <c r="CC111" s="1906"/>
      <c r="CD111" s="1906"/>
      <c r="CE111" s="1906"/>
      <c r="CF111" s="1906"/>
      <c r="CG111" s="1906"/>
      <c r="CH111" s="1906"/>
      <c r="CI111" s="1906"/>
      <c r="CJ111" s="1906"/>
      <c r="CK111" s="1906"/>
      <c r="CL111" s="1906"/>
      <c r="CM111" s="1906"/>
      <c r="CN111" s="1906"/>
      <c r="CO111" s="1906"/>
      <c r="CP111" s="1906"/>
      <c r="CQ111" s="1906"/>
      <c r="CR111" s="1906"/>
      <c r="CS111" s="1906"/>
      <c r="CT111" s="1906"/>
      <c r="CU111" s="1906"/>
      <c r="CV111" s="1906"/>
      <c r="CW111" s="1906"/>
      <c r="CX111" s="1906"/>
      <c r="CY111" s="1906"/>
      <c r="CZ111" s="1906"/>
      <c r="DA111" s="1906"/>
      <c r="DB111" s="1906"/>
      <c r="DC111" s="1906"/>
      <c r="DD111" s="1906"/>
      <c r="DE111" s="1906"/>
      <c r="DF111" s="1906"/>
      <c r="DG111" s="1906"/>
      <c r="DH111" s="1906"/>
      <c r="DI111" s="1906"/>
      <c r="DJ111" s="1906"/>
      <c r="DK111" s="1906"/>
      <c r="DL111" s="1906"/>
      <c r="DM111" s="1906"/>
      <c r="DN111" s="1906"/>
      <c r="DO111" s="1906"/>
      <c r="DP111" s="1906"/>
      <c r="DQ111" s="1906"/>
      <c r="DR111" s="1906"/>
      <c r="DS111" s="1906"/>
      <c r="DT111" s="1906"/>
      <c r="DU111" s="1906"/>
      <c r="DV111" s="1906"/>
      <c r="DW111" s="1906"/>
      <c r="DX111" s="1906"/>
      <c r="DY111" s="1906"/>
      <c r="DZ111" s="1906"/>
      <c r="EA111" s="1906"/>
      <c r="EB111" s="1906"/>
      <c r="EC111" s="1906"/>
      <c r="ED111" s="1906"/>
      <c r="EE111" s="1906"/>
      <c r="EF111" s="1906"/>
      <c r="EG111" s="1906"/>
      <c r="EH111" s="1906"/>
      <c r="EI111" s="1906"/>
      <c r="EJ111" s="1906"/>
      <c r="EK111" s="1906"/>
      <c r="EL111" s="1906"/>
      <c r="EM111" s="1906"/>
      <c r="EN111" s="1906"/>
      <c r="EO111" s="1906"/>
      <c r="EP111" s="1906"/>
      <c r="EQ111" s="1906"/>
      <c r="ER111" s="1906"/>
      <c r="ES111" s="1906"/>
      <c r="ET111" s="1906"/>
      <c r="EU111" s="1906"/>
      <c r="EV111" s="1906"/>
      <c r="EW111" s="1906"/>
      <c r="EX111" s="1906"/>
      <c r="EY111" s="1906"/>
      <c r="EZ111" s="1906"/>
      <c r="FA111" s="1906"/>
      <c r="FB111" s="1906"/>
      <c r="FC111" s="1906"/>
      <c r="FD111" s="1906"/>
      <c r="FE111" s="1906"/>
      <c r="FF111" s="1906"/>
      <c r="FG111" s="1906"/>
      <c r="FH111" s="1906"/>
      <c r="FI111" s="1906"/>
      <c r="FJ111" s="1906"/>
      <c r="FK111" s="1906"/>
      <c r="FL111" s="1906"/>
      <c r="FM111" s="1906"/>
      <c r="FN111" s="1906"/>
      <c r="FO111" s="1906"/>
      <c r="FP111" s="1906"/>
      <c r="FQ111" s="1906"/>
      <c r="FR111" s="1906"/>
      <c r="FS111" s="1906"/>
      <c r="FT111" s="1906"/>
      <c r="FU111" s="1906"/>
      <c r="FV111" s="1906"/>
      <c r="FW111" s="1907"/>
      <c r="FX111" s="1908"/>
      <c r="FY111" s="1633"/>
      <c r="FZ111" s="1633"/>
      <c r="GA111" s="1633"/>
      <c r="GB111" s="1633"/>
    </row>
    <row r="113" s="62813" customFormat="1" customHeight="1" ht="11.25">
      <c r="A113" s="2507" t="s">
        <v>2007</v>
      </c>
    </row>
    <row r="115" s="63225" customFormat="1" customHeight="1" ht="15">
      <c r="A115" s="1315"/>
      <c r="B115" s="1316"/>
      <c r="C115" s="1316"/>
      <c r="D115" s="3270" t="s">
        <v>118</v>
      </c>
      <c r="E115" s="3069" t="s">
        <v>114</v>
      </c>
      <c r="F115" s="3070"/>
      <c r="G115" s="3071"/>
      <c r="H115" s="3075" t="str">
        <f>IF(A115="","",INDEX(DIFFERENTIATION_UNMERGE_VD,MATCH(A115,DIFFERENTIATION_ID_DIFF,0)))</f>
        <v/>
      </c>
      <c r="I115" s="3075"/>
      <c r="J115" s="3075"/>
      <c r="K115" s="3075"/>
      <c r="L115" s="3075"/>
      <c r="M115" s="3075"/>
      <c r="N115" s="3075"/>
      <c r="O115" s="3075"/>
      <c r="P115" s="3075"/>
      <c r="Q115" s="3075"/>
      <c r="R115" s="3075"/>
      <c r="S115" s="1411"/>
      <c r="T115" s="1408"/>
      <c r="U115" s="1317"/>
      <c r="V115" s="1317"/>
      <c r="W115" s="1318"/>
      <c r="X115" s="1318"/>
      <c r="Y115" s="1318"/>
      <c r="Z115" s="1318"/>
      <c r="AA115" s="1319"/>
      <c r="AB115" s="1320"/>
      <c r="AC115" s="3067"/>
      <c r="AD115" s="1321"/>
      <c r="AE115" s="1322" t="s">
        <v>28</v>
      </c>
      <c r="AF115" s="1322"/>
      <c r="AG115" s="1323" t="s">
        <v>683</v>
      </c>
      <c r="AH115" s="1324">
        <v>3</v>
      </c>
      <c r="AI115" s="1317"/>
      <c r="AJ115" s="1317"/>
      <c r="AK115" s="1317"/>
      <c r="AL115" s="1317"/>
      <c r="AM115" s="1317"/>
      <c r="AN115" s="1317"/>
      <c r="AO115" s="1317"/>
      <c r="AP115" s="1317"/>
      <c r="AQ115" s="1317"/>
      <c r="AR115" s="1317"/>
      <c r="AS115" s="1317"/>
      <c r="AT115" s="1317"/>
      <c r="AU115" s="1317"/>
      <c r="AV115" s="1317"/>
      <c r="AW115" s="1317"/>
      <c r="AX115" s="1317"/>
      <c r="AY115" s="1317"/>
      <c r="AZ115" s="1317"/>
      <c r="BA115" s="1317"/>
      <c r="BB115" s="1317"/>
      <c r="BC115" s="1317"/>
      <c r="BD115" s="1317"/>
      <c r="BE115" s="1317"/>
      <c r="BF115" s="1317"/>
      <c r="BG115" s="1317"/>
      <c r="BH115" s="1317"/>
      <c r="BI115" s="1317"/>
      <c r="BJ115" s="1317"/>
      <c r="BK115" s="1317"/>
      <c r="BL115" s="1317"/>
      <c r="BM115" s="1317"/>
      <c r="BN115" s="1317"/>
      <c r="BO115" s="1317"/>
      <c r="BP115" s="1317"/>
      <c r="BQ115" s="1317"/>
      <c r="BR115" s="1317"/>
      <c r="BS115" s="1317"/>
      <c r="BT115" s="1317"/>
      <c r="BU115" s="1317"/>
      <c r="BV115" s="1318"/>
      <c r="BW115" s="1318"/>
      <c r="BX115" s="1318"/>
      <c r="BY115" s="1318"/>
      <c r="BZ115" s="1318"/>
      <c r="CA115" s="1318"/>
      <c r="CB115" s="1318"/>
      <c r="CC115" s="1318"/>
      <c r="CD115" s="1318"/>
      <c r="CE115" s="1318"/>
    </row>
    <row s="63225" customFormat="1" customHeight="1" ht="15">
      <c r="A116" s="1315"/>
      <c r="B116" s="1316"/>
      <c r="C116" s="1316"/>
      <c r="D116" s="3271"/>
      <c r="E116" s="3069" t="s">
        <v>638</v>
      </c>
      <c r="F116" s="3070"/>
      <c r="G116" s="3071"/>
      <c r="H116" s="3075" t="str">
        <f>IF(A115="","",INDEX(DIFFERENTIATION_UNMERGE_AREA,MATCH(A115,DIFFERENTIATION_ID_DIFF,0)))</f>
        <v/>
      </c>
      <c r="I116" s="3075"/>
      <c r="J116" s="3075"/>
      <c r="K116" s="3075"/>
      <c r="L116" s="3075"/>
      <c r="M116" s="3075"/>
      <c r="N116" s="3075"/>
      <c r="O116" s="3075"/>
      <c r="P116" s="3075"/>
      <c r="Q116" s="3075"/>
      <c r="R116" s="3075"/>
      <c r="S116" s="1411"/>
      <c r="T116" s="1408"/>
      <c r="U116" s="1317"/>
      <c r="V116" s="1317"/>
      <c r="W116" s="1318"/>
      <c r="X116" s="1318"/>
      <c r="Y116" s="1318"/>
      <c r="Z116" s="1318"/>
      <c r="AA116" s="1319"/>
      <c r="AB116" s="1320"/>
      <c r="AC116" s="3067"/>
      <c r="AD116" s="1321"/>
      <c r="AE116" s="1322"/>
      <c r="AF116" s="1322"/>
      <c r="AG116" s="1323"/>
      <c r="AH116" s="1324"/>
      <c r="AI116" s="1317"/>
      <c r="AJ116" s="1317"/>
      <c r="AK116" s="1317"/>
      <c r="AL116" s="1317"/>
      <c r="AM116" s="1317"/>
      <c r="AN116" s="1317"/>
      <c r="AO116" s="1317"/>
      <c r="AP116" s="1317"/>
      <c r="AQ116" s="1317"/>
      <c r="AR116" s="1317"/>
      <c r="AS116" s="1317"/>
      <c r="AT116" s="1317"/>
      <c r="AU116" s="1317"/>
      <c r="AV116" s="1317"/>
      <c r="AW116" s="1317"/>
      <c r="AX116" s="1317"/>
      <c r="AY116" s="1317"/>
      <c r="AZ116" s="1317"/>
      <c r="BA116" s="1317"/>
      <c r="BB116" s="1317"/>
      <c r="BC116" s="1317"/>
      <c r="BD116" s="1317"/>
      <c r="BE116" s="1317"/>
      <c r="BF116" s="1317"/>
      <c r="BG116" s="1317"/>
      <c r="BH116" s="1317"/>
      <c r="BI116" s="1317"/>
      <c r="BJ116" s="1317"/>
      <c r="BK116" s="1317"/>
      <c r="BL116" s="1317"/>
      <c r="BM116" s="1317"/>
      <c r="BN116" s="1317"/>
      <c r="BO116" s="1317"/>
      <c r="BP116" s="1317"/>
      <c r="BQ116" s="1317"/>
      <c r="BR116" s="1317"/>
      <c r="BS116" s="1317"/>
      <c r="BT116" s="1317"/>
      <c r="BU116" s="1317"/>
      <c r="BV116" s="1318"/>
      <c r="BW116" s="1318"/>
      <c r="BX116" s="1318"/>
      <c r="BY116" s="1318"/>
      <c r="BZ116" s="1318"/>
      <c r="CA116" s="1318"/>
      <c r="CB116" s="1318"/>
      <c r="CC116" s="1318"/>
      <c r="CD116" s="1318"/>
      <c r="CE116" s="1318"/>
    </row>
    <row s="63225" customFormat="1" customHeight="1" ht="15">
      <c r="A117" s="1315"/>
      <c r="B117" s="1316"/>
      <c r="C117" s="1316"/>
      <c r="D117" s="3271"/>
      <c r="E117" s="3069" t="s">
        <v>639</v>
      </c>
      <c r="F117" s="3070"/>
      <c r="G117" s="3071"/>
      <c r="H117" s="3075" t="str">
        <f>IF(A115="","",INDEX(DIFFERENTIATION_UNMERGE_SYSTEM,MATCH(A115,DIFFERENTIATION_ID_DIFF,0)))</f>
        <v/>
      </c>
      <c r="I117" s="3075"/>
      <c r="J117" s="3075"/>
      <c r="K117" s="3075"/>
      <c r="L117" s="3075"/>
      <c r="M117" s="3075"/>
      <c r="N117" s="3075"/>
      <c r="O117" s="3075"/>
      <c r="P117" s="3075"/>
      <c r="Q117" s="3075"/>
      <c r="R117" s="3075"/>
      <c r="S117" s="1411"/>
      <c r="T117" s="1408"/>
      <c r="U117" s="1317"/>
      <c r="V117" s="1317"/>
      <c r="W117" s="1318"/>
      <c r="X117" s="1318"/>
      <c r="Y117" s="1318"/>
      <c r="Z117" s="1318"/>
      <c r="AA117" s="1319"/>
      <c r="AB117" s="1320"/>
      <c r="AC117" s="3067"/>
      <c r="AD117" s="1321"/>
      <c r="AE117" s="1322"/>
      <c r="AF117" s="1322"/>
      <c r="AG117" s="1323"/>
      <c r="AH117" s="1324"/>
      <c r="AI117" s="1317"/>
      <c r="AJ117" s="1317"/>
      <c r="AK117" s="1317"/>
      <c r="AL117" s="1317"/>
      <c r="AM117" s="1317"/>
      <c r="AN117" s="1317"/>
      <c r="AO117" s="1317"/>
      <c r="AP117" s="1317"/>
      <c r="AQ117" s="1317"/>
      <c r="AR117" s="1317"/>
      <c r="AS117" s="1317"/>
      <c r="AT117" s="1317"/>
      <c r="AU117" s="1317"/>
      <c r="AV117" s="1317"/>
      <c r="AW117" s="1317"/>
      <c r="AX117" s="1317"/>
      <c r="AY117" s="1317"/>
      <c r="AZ117" s="1317"/>
      <c r="BA117" s="1317"/>
      <c r="BB117" s="1317"/>
      <c r="BC117" s="1317"/>
      <c r="BD117" s="1317"/>
      <c r="BE117" s="1317"/>
      <c r="BF117" s="1317"/>
      <c r="BG117" s="1317"/>
      <c r="BH117" s="1317"/>
      <c r="BI117" s="1317"/>
      <c r="BJ117" s="1317"/>
      <c r="BK117" s="1317"/>
      <c r="BL117" s="1317"/>
      <c r="BM117" s="1317"/>
      <c r="BN117" s="1317"/>
      <c r="BO117" s="1317"/>
      <c r="BP117" s="1317"/>
      <c r="BQ117" s="1317"/>
      <c r="BR117" s="1317"/>
      <c r="BS117" s="1317"/>
      <c r="BT117" s="1317"/>
      <c r="BU117" s="1317"/>
      <c r="BV117" s="1318"/>
      <c r="BW117" s="1318"/>
      <c r="BX117" s="1318"/>
      <c r="BY117" s="1318"/>
      <c r="BZ117" s="1318"/>
      <c r="CA117" s="1318"/>
      <c r="CB117" s="1318"/>
      <c r="CC117" s="1318"/>
      <c r="CD117" s="1318"/>
      <c r="CE117" s="1318"/>
    </row>
    <row s="63225" customFormat="1" customHeight="1" ht="24.75">
      <c r="A118" s="2498"/>
      <c r="B118" s="1852"/>
      <c r="C118" s="1104"/>
      <c r="D118" s="3271"/>
      <c r="E118" s="3068" t="s">
        <v>684</v>
      </c>
      <c r="F118" s="3068"/>
      <c r="G118" s="3068"/>
      <c r="H118" s="3068"/>
      <c r="I118" s="3068"/>
      <c r="J118" s="3068"/>
      <c r="K118" s="3068"/>
      <c r="L118" s="3068"/>
      <c r="M118" s="3068"/>
      <c r="N118" s="3068"/>
      <c r="O118" s="3068"/>
      <c r="P118" s="3068"/>
      <c r="Q118" s="1250">
        <f>SUMIF(T119:T120,"i",Q119:Q120)</f>
        <v>0</v>
      </c>
      <c r="R118" s="1709"/>
      <c r="S118" s="2490" t="s">
        <v>685</v>
      </c>
      <c r="T118" s="1409" t="s">
        <v>686</v>
      </c>
      <c r="U118" s="3066">
        <v>1</v>
      </c>
      <c r="V118" s="3066" t="s">
        <v>649</v>
      </c>
      <c r="W118" s="1852"/>
      <c r="X118" s="1852"/>
      <c r="Y118" s="1852"/>
      <c r="Z118" s="1852"/>
      <c r="AA118" s="2328"/>
      <c r="AB118" s="1852"/>
      <c r="AC118" s="3067"/>
      <c r="AD118" s="1321"/>
      <c r="AE118" s="1852"/>
      <c r="AF118" s="1852"/>
      <c r="AG118" s="2328"/>
      <c r="AH118" s="2328"/>
      <c r="AI118" s="2328"/>
      <c r="AJ118" s="2328"/>
      <c r="AK118" s="2328"/>
      <c r="AL118" s="2328"/>
      <c r="AM118" s="2328"/>
      <c r="AN118" s="2328"/>
      <c r="AO118" s="2328"/>
      <c r="AP118" s="2328"/>
      <c r="AQ118" s="2328"/>
      <c r="AR118" s="2328"/>
      <c r="AS118" s="2328"/>
      <c r="AT118" s="2328"/>
      <c r="AU118" s="2328"/>
      <c r="AV118" s="2328"/>
      <c r="AW118" s="2328"/>
      <c r="AX118" s="2328"/>
      <c r="AY118" s="2328"/>
      <c r="AZ118" s="2328"/>
      <c r="BA118" s="2328"/>
      <c r="BB118" s="2328"/>
      <c r="BC118" s="2328"/>
      <c r="BD118" s="2328"/>
      <c r="BE118" s="2328"/>
      <c r="BF118" s="2328"/>
      <c r="BG118" s="2328"/>
      <c r="BH118" s="2328"/>
      <c r="BI118" s="2328"/>
      <c r="BJ118" s="2328"/>
      <c r="BK118" s="2328"/>
      <c r="BL118" s="2328"/>
      <c r="BM118" s="2328"/>
      <c r="BN118" s="2328"/>
      <c r="BO118" s="2328"/>
      <c r="BP118" s="2328"/>
      <c r="BQ118" s="2328"/>
      <c r="BR118" s="2328"/>
      <c r="BS118" s="2328"/>
      <c r="BT118" s="2328"/>
      <c r="BU118" s="2328"/>
      <c r="BV118" s="1852"/>
      <c r="BW118" s="1852"/>
      <c r="BX118" s="1852"/>
      <c r="BY118" s="1852"/>
      <c r="BZ118" s="1852"/>
      <c r="CA118" s="1852"/>
      <c r="CB118" s="1852"/>
      <c r="CC118" s="1852"/>
      <c r="CD118" s="1852"/>
      <c r="CE118" s="1852"/>
    </row>
    <row s="63225" customFormat="1" customHeight="1" ht="11.25" hidden="1">
      <c r="A119" s="2485"/>
      <c r="B119" s="2328"/>
      <c r="C119" s="2328"/>
      <c r="D119" s="3271"/>
      <c r="E119" s="1327"/>
      <c r="F119" s="1327">
        <v>0</v>
      </c>
      <c r="G119" s="1327"/>
      <c r="H119" s="1327"/>
      <c r="I119" s="1327"/>
      <c r="J119" s="1327"/>
      <c r="K119" s="1327"/>
      <c r="L119" s="1327"/>
      <c r="M119" s="1327"/>
      <c r="N119" s="1327"/>
      <c r="O119" s="1327"/>
      <c r="P119" s="1327"/>
      <c r="Q119" s="1327"/>
      <c r="R119" s="1327"/>
      <c r="S119" s="1328"/>
      <c r="T119" s="1410"/>
      <c r="U119" s="3066"/>
      <c r="V119" s="3066"/>
      <c r="W119" s="2328"/>
      <c r="X119" s="2328"/>
      <c r="Y119" s="2328"/>
      <c r="Z119" s="2328"/>
      <c r="AA119" s="2328"/>
      <c r="AB119" s="1852"/>
      <c r="AC119" s="3067"/>
      <c r="AD119" s="1321"/>
      <c r="AE119" s="1852"/>
      <c r="AF119" s="1852"/>
      <c r="AG119" s="2328"/>
      <c r="AH119" s="2328"/>
      <c r="AI119" s="2328"/>
      <c r="AJ119" s="2328"/>
      <c r="AK119" s="2328"/>
      <c r="AL119" s="2328"/>
      <c r="AM119" s="2328"/>
      <c r="AN119" s="2328"/>
      <c r="AO119" s="2328"/>
      <c r="AP119" s="2328"/>
      <c r="AQ119" s="2328"/>
      <c r="AR119" s="2328"/>
      <c r="AS119" s="2328"/>
      <c r="AT119" s="2328"/>
      <c r="AU119" s="2328"/>
      <c r="AV119" s="2328"/>
      <c r="AW119" s="2328"/>
      <c r="AX119" s="2328"/>
      <c r="AY119" s="2328"/>
      <c r="AZ119" s="2328"/>
      <c r="BA119" s="2328"/>
      <c r="BB119" s="2328"/>
      <c r="BC119" s="2328"/>
      <c r="BD119" s="2328"/>
      <c r="BE119" s="2328"/>
      <c r="BF119" s="2328"/>
      <c r="BG119" s="2328"/>
      <c r="BH119" s="2328"/>
      <c r="BI119" s="2328"/>
      <c r="BJ119" s="2328"/>
      <c r="BK119" s="2328"/>
      <c r="BL119" s="2328"/>
      <c r="BM119" s="2328"/>
      <c r="BN119" s="2328"/>
      <c r="BO119" s="2328"/>
      <c r="BP119" s="2328"/>
      <c r="BQ119" s="2328"/>
      <c r="BR119" s="2328"/>
      <c r="BS119" s="2328"/>
      <c r="BT119" s="2328"/>
      <c r="BU119" s="2328"/>
      <c r="BV119" s="2328"/>
      <c r="BW119" s="2328"/>
      <c r="BX119" s="2328"/>
      <c r="BY119" s="2328"/>
      <c r="BZ119" s="2328"/>
      <c r="CA119" s="2328"/>
      <c r="CB119" s="2328"/>
      <c r="CC119" s="2328"/>
      <c r="CD119" s="2328"/>
      <c r="CE119" s="2328"/>
    </row>
    <row s="63225" customFormat="1" customHeight="1" ht="11.25">
      <c r="A120" s="2498"/>
      <c r="B120" s="1852"/>
      <c r="C120" s="1104"/>
      <c r="D120" s="3271"/>
      <c r="E120" s="1341" t="s">
        <v>28</v>
      </c>
      <c r="F120" s="1860" t="s">
        <v>28</v>
      </c>
      <c r="G120" s="1860" t="s">
        <v>2008</v>
      </c>
      <c r="H120" s="1343" t="s">
        <v>28</v>
      </c>
      <c r="I120" s="1343"/>
      <c r="J120" s="1343"/>
      <c r="K120" s="1343"/>
      <c r="L120" s="1343"/>
      <c r="M120" s="1343"/>
      <c r="N120" s="1343"/>
      <c r="O120" s="1343"/>
      <c r="P120" s="1343"/>
      <c r="Q120" s="1343"/>
      <c r="R120" s="1344"/>
      <c r="S120" s="1345"/>
      <c r="T120" s="1410"/>
      <c r="U120" s="3066"/>
      <c r="V120" s="3066"/>
      <c r="W120" s="1852"/>
      <c r="X120" s="1852"/>
      <c r="Y120" s="1852"/>
      <c r="Z120" s="1852"/>
      <c r="AA120" s="2328"/>
      <c r="AB120" s="1852"/>
      <c r="AC120" s="3067"/>
      <c r="AD120" s="1321"/>
      <c r="AE120" s="1852"/>
      <c r="AF120" s="1852"/>
      <c r="AG120" s="2328"/>
      <c r="AH120" s="2328"/>
      <c r="AI120" s="2328"/>
      <c r="AJ120" s="2328"/>
      <c r="AK120" s="2328"/>
      <c r="AL120" s="2328"/>
      <c r="AM120" s="2328"/>
      <c r="AN120" s="2328"/>
      <c r="AO120" s="2328"/>
      <c r="AP120" s="2328"/>
      <c r="AQ120" s="2328"/>
      <c r="AR120" s="2328"/>
      <c r="AS120" s="2328"/>
      <c r="AT120" s="2328"/>
      <c r="AU120" s="2328"/>
      <c r="AV120" s="2328"/>
      <c r="AW120" s="2328"/>
      <c r="AX120" s="2328"/>
      <c r="AY120" s="2328"/>
      <c r="AZ120" s="2328"/>
      <c r="BA120" s="2328"/>
      <c r="BB120" s="2328"/>
      <c r="BC120" s="2328"/>
      <c r="BD120" s="2328"/>
      <c r="BE120" s="2328"/>
      <c r="BF120" s="2328"/>
      <c r="BG120" s="2328"/>
      <c r="BH120" s="2328"/>
      <c r="BI120" s="2328"/>
      <c r="BJ120" s="2328"/>
      <c r="BK120" s="2328"/>
      <c r="BL120" s="2328"/>
      <c r="BM120" s="2328"/>
      <c r="BN120" s="2328"/>
      <c r="BO120" s="2328"/>
      <c r="BP120" s="2328"/>
      <c r="BQ120" s="2328"/>
      <c r="BR120" s="2328"/>
      <c r="BS120" s="2328"/>
      <c r="BT120" s="2328"/>
      <c r="BU120" s="2328"/>
      <c r="BV120" s="1852"/>
      <c r="BW120" s="1852"/>
      <c r="BX120" s="1852"/>
      <c r="BY120" s="1852"/>
      <c r="BZ120" s="1852"/>
      <c r="CA120" s="1852"/>
      <c r="CB120" s="1852"/>
      <c r="CC120" s="1852"/>
      <c r="CD120" s="1852"/>
      <c r="CE120" s="1852"/>
    </row>
    <row s="63225" customFormat="1" customHeight="1" ht="24.75">
      <c r="A121" s="2498"/>
      <c r="B121" s="1852"/>
      <c r="C121" s="1104"/>
      <c r="D121" s="3271"/>
      <c r="E121" s="3068" t="s">
        <v>687</v>
      </c>
      <c r="F121" s="3068"/>
      <c r="G121" s="3068"/>
      <c r="H121" s="3068"/>
      <c r="I121" s="3068"/>
      <c r="J121" s="3068"/>
      <c r="K121" s="3068"/>
      <c r="L121" s="3068"/>
      <c r="M121" s="3068"/>
      <c r="N121" s="3068"/>
      <c r="O121" s="3068"/>
      <c r="P121" s="3068"/>
      <c r="Q121" s="1250">
        <f>SUMIF(T122:T123,"i",Q122:Q123)</f>
        <v>0</v>
      </c>
      <c r="R121" s="1709"/>
      <c r="S121" s="2490" t="s">
        <v>688</v>
      </c>
      <c r="T121" s="1409" t="s">
        <v>686</v>
      </c>
      <c r="U121" s="3066">
        <v>1</v>
      </c>
      <c r="V121" s="3066" t="s">
        <v>649</v>
      </c>
      <c r="W121" s="1852"/>
      <c r="X121" s="1852"/>
      <c r="Y121" s="1852"/>
      <c r="Z121" s="1852"/>
      <c r="AA121" s="2328"/>
      <c r="AB121" s="1852"/>
      <c r="AC121" s="2488"/>
      <c r="AD121" s="1321"/>
      <c r="AE121" s="1852"/>
      <c r="AF121" s="1852"/>
      <c r="AG121" s="2328"/>
      <c r="AH121" s="2328"/>
      <c r="AI121" s="2328"/>
      <c r="AJ121" s="2328"/>
      <c r="AK121" s="2328"/>
      <c r="AL121" s="2328"/>
      <c r="AM121" s="2328"/>
      <c r="AN121" s="2328"/>
      <c r="AO121" s="2328"/>
      <c r="AP121" s="2328"/>
      <c r="AQ121" s="2328"/>
      <c r="AR121" s="2328"/>
      <c r="AS121" s="2328"/>
      <c r="AT121" s="2328"/>
      <c r="AU121" s="2328"/>
      <c r="AV121" s="2328"/>
      <c r="AW121" s="2328"/>
      <c r="AX121" s="2328"/>
      <c r="AY121" s="2328"/>
      <c r="AZ121" s="2328"/>
      <c r="BA121" s="2328"/>
      <c r="BB121" s="2328"/>
      <c r="BC121" s="2328"/>
      <c r="BD121" s="2328"/>
      <c r="BE121" s="2328"/>
      <c r="BF121" s="2328"/>
      <c r="BG121" s="2328"/>
      <c r="BH121" s="2328"/>
      <c r="BI121" s="2328"/>
      <c r="BJ121" s="2328"/>
      <c r="BK121" s="2328"/>
      <c r="BL121" s="2328"/>
      <c r="BM121" s="2328"/>
      <c r="BN121" s="2328"/>
      <c r="BO121" s="2328"/>
      <c r="BP121" s="2328"/>
      <c r="BQ121" s="2328"/>
      <c r="BR121" s="2328"/>
      <c r="BS121" s="2328"/>
      <c r="BT121" s="2328"/>
      <c r="BU121" s="2328"/>
      <c r="BV121" s="1852"/>
      <c r="BW121" s="1852"/>
      <c r="BX121" s="1852"/>
      <c r="BY121" s="1852"/>
      <c r="BZ121" s="1852"/>
      <c r="CA121" s="1852"/>
      <c r="CB121" s="1852"/>
      <c r="CC121" s="1852"/>
      <c r="CD121" s="1852"/>
      <c r="CE121" s="1852"/>
    </row>
    <row s="63225" customFormat="1" customHeight="1" ht="11.25" hidden="1">
      <c r="A122" s="2485"/>
      <c r="B122" s="2328"/>
      <c r="C122" s="2328"/>
      <c r="D122" s="3271"/>
      <c r="E122" s="1327"/>
      <c r="F122" s="1327">
        <v>0</v>
      </c>
      <c r="G122" s="1327"/>
      <c r="H122" s="1327"/>
      <c r="I122" s="1327"/>
      <c r="J122" s="1327"/>
      <c r="K122" s="1327"/>
      <c r="L122" s="1327"/>
      <c r="M122" s="1327"/>
      <c r="N122" s="1327"/>
      <c r="O122" s="1327"/>
      <c r="P122" s="1327"/>
      <c r="Q122" s="1327"/>
      <c r="R122" s="1327"/>
      <c r="S122" s="1328"/>
      <c r="T122" s="1410"/>
      <c r="U122" s="3066"/>
      <c r="V122" s="3066"/>
      <c r="W122" s="2328"/>
      <c r="X122" s="2328"/>
      <c r="Y122" s="2328"/>
      <c r="Z122" s="2328"/>
      <c r="AA122" s="2328"/>
      <c r="AB122" s="1852"/>
      <c r="AC122" s="2488"/>
      <c r="AD122" s="1321"/>
      <c r="AE122" s="1852"/>
      <c r="AF122" s="1852"/>
      <c r="AG122" s="2328"/>
      <c r="AH122" s="2328"/>
      <c r="AI122" s="2328"/>
      <c r="AJ122" s="2328"/>
      <c r="AK122" s="2328"/>
      <c r="AL122" s="2328"/>
      <c r="AM122" s="2328"/>
      <c r="AN122" s="2328"/>
      <c r="AO122" s="2328"/>
      <c r="AP122" s="2328"/>
      <c r="AQ122" s="2328"/>
      <c r="AR122" s="2328"/>
      <c r="AS122" s="2328"/>
      <c r="AT122" s="2328"/>
      <c r="AU122" s="2328"/>
      <c r="AV122" s="2328"/>
      <c r="AW122" s="2328"/>
      <c r="AX122" s="2328"/>
      <c r="AY122" s="2328"/>
      <c r="AZ122" s="2328"/>
      <c r="BA122" s="2328"/>
      <c r="BB122" s="2328"/>
      <c r="BC122" s="2328"/>
      <c r="BD122" s="2328"/>
      <c r="BE122" s="2328"/>
      <c r="BF122" s="2328"/>
      <c r="BG122" s="2328"/>
      <c r="BH122" s="2328"/>
      <c r="BI122" s="2328"/>
      <c r="BJ122" s="2328"/>
      <c r="BK122" s="2328"/>
      <c r="BL122" s="2328"/>
      <c r="BM122" s="2328"/>
      <c r="BN122" s="2328"/>
      <c r="BO122" s="2328"/>
      <c r="BP122" s="2328"/>
      <c r="BQ122" s="2328"/>
      <c r="BR122" s="2328"/>
      <c r="BS122" s="2328"/>
      <c r="BT122" s="2328"/>
      <c r="BU122" s="2328"/>
      <c r="BV122" s="2328"/>
      <c r="BW122" s="2328"/>
      <c r="BX122" s="2328"/>
      <c r="BY122" s="2328"/>
      <c r="BZ122" s="2328"/>
      <c r="CA122" s="2328"/>
      <c r="CB122" s="2328"/>
      <c r="CC122" s="2328"/>
      <c r="CD122" s="2328"/>
      <c r="CE122" s="2328"/>
    </row>
    <row s="63225" customFormat="1" customHeight="1" ht="11.25">
      <c r="A123" s="2498"/>
      <c r="B123" s="1852"/>
      <c r="C123" s="1104"/>
      <c r="D123" s="3272"/>
      <c r="E123" s="1341" t="s">
        <v>28</v>
      </c>
      <c r="F123" s="1860" t="s">
        <v>28</v>
      </c>
      <c r="G123" s="1860" t="s">
        <v>2008</v>
      </c>
      <c r="H123" s="1343" t="s">
        <v>28</v>
      </c>
      <c r="I123" s="1343"/>
      <c r="J123" s="1343"/>
      <c r="K123" s="1343"/>
      <c r="L123" s="1343"/>
      <c r="M123" s="1343"/>
      <c r="N123" s="1343"/>
      <c r="O123" s="1343"/>
      <c r="P123" s="1343"/>
      <c r="Q123" s="1343"/>
      <c r="R123" s="1344"/>
      <c r="S123" s="1345"/>
      <c r="T123" s="1410"/>
      <c r="U123" s="3066"/>
      <c r="V123" s="3066"/>
      <c r="W123" s="1852"/>
      <c r="X123" s="1852"/>
      <c r="Y123" s="1852"/>
      <c r="Z123" s="1852"/>
      <c r="AA123" s="2328"/>
      <c r="AB123" s="1852"/>
      <c r="AC123" s="2488"/>
      <c r="AD123" s="1321"/>
      <c r="AE123" s="1852"/>
      <c r="AF123" s="1852"/>
      <c r="AG123" s="2328"/>
      <c r="AH123" s="2328"/>
      <c r="AI123" s="2328"/>
      <c r="AJ123" s="2328"/>
      <c r="AK123" s="2328"/>
      <c r="AL123" s="2328"/>
      <c r="AM123" s="2328"/>
      <c r="AN123" s="2328"/>
      <c r="AO123" s="2328"/>
      <c r="AP123" s="2328"/>
      <c r="AQ123" s="2328"/>
      <c r="AR123" s="2328"/>
      <c r="AS123" s="2328"/>
      <c r="AT123" s="2328"/>
      <c r="AU123" s="2328"/>
      <c r="AV123" s="2328"/>
      <c r="AW123" s="2328"/>
      <c r="AX123" s="2328"/>
      <c r="AY123" s="2328"/>
      <c r="AZ123" s="2328"/>
      <c r="BA123" s="2328"/>
      <c r="BB123" s="2328"/>
      <c r="BC123" s="2328"/>
      <c r="BD123" s="2328"/>
      <c r="BE123" s="2328"/>
      <c r="BF123" s="2328"/>
      <c r="BG123" s="2328"/>
      <c r="BH123" s="2328"/>
      <c r="BI123" s="2328"/>
      <c r="BJ123" s="2328"/>
      <c r="BK123" s="2328"/>
      <c r="BL123" s="2328"/>
      <c r="BM123" s="2328"/>
      <c r="BN123" s="2328"/>
      <c r="BO123" s="2328"/>
      <c r="BP123" s="2328"/>
      <c r="BQ123" s="2328"/>
      <c r="BR123" s="2328"/>
      <c r="BS123" s="2328"/>
      <c r="BT123" s="2328"/>
      <c r="BU123" s="2328"/>
      <c r="BV123" s="1852"/>
      <c r="BW123" s="1852"/>
      <c r="BX123" s="1852"/>
      <c r="BY123" s="1852"/>
      <c r="BZ123" s="1852"/>
      <c r="CA123" s="1852"/>
      <c r="CB123" s="1852"/>
      <c r="CC123" s="1852"/>
      <c r="CD123" s="1852"/>
      <c r="CE123" s="1852"/>
    </row>
    <row r="125" s="62813" customFormat="1" customHeight="1" ht="11.25">
      <c r="A125" s="2507" t="s">
        <v>2009</v>
      </c>
    </row>
    <row r="127" s="63225" customFormat="1" customHeight="1" ht="15">
      <c r="A127" s="1315"/>
      <c r="B127" s="1316"/>
      <c r="C127" s="1316"/>
      <c r="D127" s="3270" t="s">
        <v>118</v>
      </c>
      <c r="E127" s="3069" t="s">
        <v>114</v>
      </c>
      <c r="F127" s="3070"/>
      <c r="G127" s="3071"/>
      <c r="H127" s="3075" t="str">
        <f>IF(A127="","",INDEX(DIFFERENTIATION_UNMERGE_VD,MATCH(A127,DIFFERENTIATION_ID_DIFF,0)))</f>
        <v/>
      </c>
      <c r="I127" s="3075"/>
      <c r="J127" s="3075"/>
      <c r="K127" s="3075"/>
      <c r="L127" s="3075"/>
      <c r="M127" s="3075"/>
      <c r="N127" s="3075"/>
      <c r="O127" s="3075"/>
      <c r="P127" s="3075"/>
      <c r="Q127" s="3075"/>
      <c r="R127" s="3075"/>
      <c r="S127" s="1411"/>
      <c r="T127" s="1408"/>
      <c r="U127" s="1317"/>
      <c r="V127" s="1317"/>
      <c r="W127" s="1318"/>
      <c r="X127" s="1318"/>
      <c r="Y127" s="1318"/>
      <c r="Z127" s="1318"/>
      <c r="AA127" s="1319"/>
      <c r="AB127" s="1320"/>
      <c r="AC127" s="3067"/>
      <c r="AD127" s="1321"/>
      <c r="AE127" s="1322" t="s">
        <v>28</v>
      </c>
      <c r="AF127" s="1322"/>
      <c r="AG127" s="1323" t="s">
        <v>683</v>
      </c>
      <c r="AH127" s="1324">
        <v>3</v>
      </c>
      <c r="AI127" s="1317"/>
      <c r="AJ127" s="1317"/>
      <c r="AK127" s="1317"/>
      <c r="AL127" s="1317"/>
      <c r="AM127" s="1317"/>
      <c r="AN127" s="1317"/>
      <c r="AO127" s="1317"/>
      <c r="AP127" s="1317"/>
      <c r="AQ127" s="1317"/>
      <c r="AR127" s="1317"/>
      <c r="AS127" s="1317"/>
      <c r="AT127" s="1317"/>
      <c r="AU127" s="1317"/>
      <c r="AV127" s="1317"/>
      <c r="AW127" s="1317"/>
      <c r="AX127" s="1317"/>
      <c r="AY127" s="1317"/>
      <c r="AZ127" s="1317"/>
      <c r="BA127" s="1317"/>
      <c r="BB127" s="1317"/>
      <c r="BC127" s="1317"/>
      <c r="BD127" s="1317"/>
      <c r="BE127" s="1317"/>
      <c r="BF127" s="1317"/>
      <c r="BG127" s="1317"/>
      <c r="BH127" s="1317"/>
      <c r="BI127" s="1317"/>
      <c r="BJ127" s="1317"/>
      <c r="BK127" s="1317"/>
      <c r="BL127" s="1317"/>
      <c r="BM127" s="1317"/>
      <c r="BN127" s="1317"/>
      <c r="BO127" s="1317"/>
      <c r="BP127" s="1317"/>
      <c r="BQ127" s="1317"/>
      <c r="BR127" s="1317"/>
      <c r="BS127" s="1317"/>
      <c r="BT127" s="1317"/>
      <c r="BU127" s="1317"/>
      <c r="BV127" s="1318"/>
      <c r="BW127" s="1318"/>
      <c r="BX127" s="1318"/>
      <c r="BY127" s="1318"/>
      <c r="BZ127" s="1318"/>
      <c r="CA127" s="1318"/>
      <c r="CB127" s="1318"/>
      <c r="CC127" s="1318"/>
      <c r="CD127" s="1318"/>
      <c r="CE127" s="1318"/>
    </row>
    <row s="63225" customFormat="1" customHeight="1" ht="15">
      <c r="A128" s="1315"/>
      <c r="B128" s="1316"/>
      <c r="C128" s="1316"/>
      <c r="D128" s="3271"/>
      <c r="E128" s="3069" t="s">
        <v>638</v>
      </c>
      <c r="F128" s="3070"/>
      <c r="G128" s="3071"/>
      <c r="H128" s="3075" t="str">
        <f>IF(A127="","",INDEX(DIFFERENTIATION_UNMERGE_AREA,MATCH(A127,DIFFERENTIATION_ID_DIFF,0)))</f>
        <v/>
      </c>
      <c r="I128" s="3075"/>
      <c r="J128" s="3075"/>
      <c r="K128" s="3075"/>
      <c r="L128" s="3075"/>
      <c r="M128" s="3075"/>
      <c r="N128" s="3075"/>
      <c r="O128" s="3075"/>
      <c r="P128" s="3075"/>
      <c r="Q128" s="3075"/>
      <c r="R128" s="3075"/>
      <c r="S128" s="1411"/>
      <c r="T128" s="1408"/>
      <c r="U128" s="1317"/>
      <c r="V128" s="1317"/>
      <c r="W128" s="1318"/>
      <c r="X128" s="1318"/>
      <c r="Y128" s="1318"/>
      <c r="Z128" s="1318"/>
      <c r="AA128" s="1319"/>
      <c r="AB128" s="1320"/>
      <c r="AC128" s="3067"/>
      <c r="AD128" s="1321"/>
      <c r="AE128" s="1322"/>
      <c r="AF128" s="1322"/>
      <c r="AG128" s="1323"/>
      <c r="AH128" s="1324"/>
      <c r="AI128" s="1317"/>
      <c r="AJ128" s="1317"/>
      <c r="AK128" s="1317"/>
      <c r="AL128" s="1317"/>
      <c r="AM128" s="1317"/>
      <c r="AN128" s="1317"/>
      <c r="AO128" s="1317"/>
      <c r="AP128" s="1317"/>
      <c r="AQ128" s="1317"/>
      <c r="AR128" s="1317"/>
      <c r="AS128" s="1317"/>
      <c r="AT128" s="1317"/>
      <c r="AU128" s="1317"/>
      <c r="AV128" s="1317"/>
      <c r="AW128" s="1317"/>
      <c r="AX128" s="1317"/>
      <c r="AY128" s="1317"/>
      <c r="AZ128" s="1317"/>
      <c r="BA128" s="1317"/>
      <c r="BB128" s="1317"/>
      <c r="BC128" s="1317"/>
      <c r="BD128" s="1317"/>
      <c r="BE128" s="1317"/>
      <c r="BF128" s="1317"/>
      <c r="BG128" s="1317"/>
      <c r="BH128" s="1317"/>
      <c r="BI128" s="1317"/>
      <c r="BJ128" s="1317"/>
      <c r="BK128" s="1317"/>
      <c r="BL128" s="1317"/>
      <c r="BM128" s="1317"/>
      <c r="BN128" s="1317"/>
      <c r="BO128" s="1317"/>
      <c r="BP128" s="1317"/>
      <c r="BQ128" s="1317"/>
      <c r="BR128" s="1317"/>
      <c r="BS128" s="1317"/>
      <c r="BT128" s="1317"/>
      <c r="BU128" s="1317"/>
      <c r="BV128" s="1318"/>
      <c r="BW128" s="1318"/>
      <c r="BX128" s="1318"/>
      <c r="BY128" s="1318"/>
      <c r="BZ128" s="1318"/>
      <c r="CA128" s="1318"/>
      <c r="CB128" s="1318"/>
      <c r="CC128" s="1318"/>
      <c r="CD128" s="1318"/>
      <c r="CE128" s="1318"/>
    </row>
    <row s="63225" customFormat="1" customHeight="1" ht="15">
      <c r="A129" s="1315"/>
      <c r="B129" s="1316"/>
      <c r="C129" s="1316"/>
      <c r="D129" s="3271"/>
      <c r="E129" s="3069" t="s">
        <v>639</v>
      </c>
      <c r="F129" s="3070"/>
      <c r="G129" s="3071"/>
      <c r="H129" s="3075" t="str">
        <f>IF(A127="","",INDEX(DIFFERENTIATION_UNMERGE_SYSTEM,MATCH(A127,DIFFERENTIATION_ID_DIFF,0)))</f>
        <v/>
      </c>
      <c r="I129" s="3075"/>
      <c r="J129" s="3075"/>
      <c r="K129" s="3075"/>
      <c r="L129" s="3075"/>
      <c r="M129" s="3075"/>
      <c r="N129" s="3075"/>
      <c r="O129" s="3075"/>
      <c r="P129" s="3075"/>
      <c r="Q129" s="3075"/>
      <c r="R129" s="3075"/>
      <c r="S129" s="1411"/>
      <c r="T129" s="1408"/>
      <c r="U129" s="1317"/>
      <c r="V129" s="1317"/>
      <c r="W129" s="1318"/>
      <c r="X129" s="1318"/>
      <c r="Y129" s="1318"/>
      <c r="Z129" s="1318"/>
      <c r="AA129" s="1319"/>
      <c r="AB129" s="1320"/>
      <c r="AC129" s="3067"/>
      <c r="AD129" s="1321"/>
      <c r="AE129" s="1322"/>
      <c r="AF129" s="1322"/>
      <c r="AG129" s="1323"/>
      <c r="AH129" s="1324"/>
      <c r="AI129" s="1317"/>
      <c r="AJ129" s="1317"/>
      <c r="AK129" s="1317"/>
      <c r="AL129" s="1317"/>
      <c r="AM129" s="1317"/>
      <c r="AN129" s="1317"/>
      <c r="AO129" s="1317"/>
      <c r="AP129" s="1317"/>
      <c r="AQ129" s="1317"/>
      <c r="AR129" s="1317"/>
      <c r="AS129" s="1317"/>
      <c r="AT129" s="1317"/>
      <c r="AU129" s="1317"/>
      <c r="AV129" s="1317"/>
      <c r="AW129" s="1317"/>
      <c r="AX129" s="1317"/>
      <c r="AY129" s="1317"/>
      <c r="AZ129" s="1317"/>
      <c r="BA129" s="1317"/>
      <c r="BB129" s="1317"/>
      <c r="BC129" s="1317"/>
      <c r="BD129" s="1317"/>
      <c r="BE129" s="1317"/>
      <c r="BF129" s="1317"/>
      <c r="BG129" s="1317"/>
      <c r="BH129" s="1317"/>
      <c r="BI129" s="1317"/>
      <c r="BJ129" s="1317"/>
      <c r="BK129" s="1317"/>
      <c r="BL129" s="1317"/>
      <c r="BM129" s="1317"/>
      <c r="BN129" s="1317"/>
      <c r="BO129" s="1317"/>
      <c r="BP129" s="1317"/>
      <c r="BQ129" s="1317"/>
      <c r="BR129" s="1317"/>
      <c r="BS129" s="1317"/>
      <c r="BT129" s="1317"/>
      <c r="BU129" s="1317"/>
      <c r="BV129" s="1318"/>
      <c r="BW129" s="1318"/>
      <c r="BX129" s="1318"/>
      <c r="BY129" s="1318"/>
      <c r="BZ129" s="1318"/>
      <c r="CA129" s="1318"/>
      <c r="CB129" s="1318"/>
      <c r="CC129" s="1318"/>
      <c r="CD129" s="1318"/>
      <c r="CE129" s="1318"/>
    </row>
    <row s="63225" customFormat="1" customHeight="1" ht="24.75">
      <c r="A130" s="2498"/>
      <c r="B130" s="1852"/>
      <c r="C130" s="1104"/>
      <c r="D130" s="3271"/>
      <c r="E130" s="3068" t="s">
        <v>684</v>
      </c>
      <c r="F130" s="3068"/>
      <c r="G130" s="3068"/>
      <c r="H130" s="3068"/>
      <c r="I130" s="3068"/>
      <c r="J130" s="3068"/>
      <c r="K130" s="3068"/>
      <c r="L130" s="3068"/>
      <c r="M130" s="3068"/>
      <c r="N130" s="3068"/>
      <c r="O130" s="3068"/>
      <c r="P130" s="3068"/>
      <c r="Q130" s="1250">
        <f>SUMIF(T131:T132,"i",Q131:Q132)</f>
        <v>0</v>
      </c>
      <c r="R130" s="1709"/>
      <c r="S130" s="2490" t="s">
        <v>685</v>
      </c>
      <c r="T130" s="1409" t="s">
        <v>686</v>
      </c>
      <c r="U130" s="3066">
        <v>1</v>
      </c>
      <c r="V130" s="3066" t="s">
        <v>649</v>
      </c>
      <c r="W130" s="1852"/>
      <c r="X130" s="1852"/>
      <c r="Y130" s="1852"/>
      <c r="Z130" s="1852"/>
      <c r="AA130" s="2328"/>
      <c r="AB130" s="1852"/>
      <c r="AC130" s="3067"/>
      <c r="AD130" s="1321"/>
      <c r="AE130" s="1852"/>
      <c r="AF130" s="1852"/>
      <c r="AG130" s="2328"/>
      <c r="AH130" s="2328"/>
      <c r="AI130" s="2328"/>
      <c r="AJ130" s="2328"/>
      <c r="AK130" s="2328"/>
      <c r="AL130" s="2328"/>
      <c r="AM130" s="2328"/>
      <c r="AN130" s="2328"/>
      <c r="AO130" s="2328"/>
      <c r="AP130" s="2328"/>
      <c r="AQ130" s="2328"/>
      <c r="AR130" s="2328"/>
      <c r="AS130" s="2328"/>
      <c r="AT130" s="2328"/>
      <c r="AU130" s="2328"/>
      <c r="AV130" s="2328"/>
      <c r="AW130" s="2328"/>
      <c r="AX130" s="2328"/>
      <c r="AY130" s="2328"/>
      <c r="AZ130" s="2328"/>
      <c r="BA130" s="2328"/>
      <c r="BB130" s="2328"/>
      <c r="BC130" s="2328"/>
      <c r="BD130" s="2328"/>
      <c r="BE130" s="2328"/>
      <c r="BF130" s="2328"/>
      <c r="BG130" s="2328"/>
      <c r="BH130" s="2328"/>
      <c r="BI130" s="2328"/>
      <c r="BJ130" s="2328"/>
      <c r="BK130" s="2328"/>
      <c r="BL130" s="2328"/>
      <c r="BM130" s="2328"/>
      <c r="BN130" s="2328"/>
      <c r="BO130" s="2328"/>
      <c r="BP130" s="2328"/>
      <c r="BQ130" s="2328"/>
      <c r="BR130" s="2328"/>
      <c r="BS130" s="2328"/>
      <c r="BT130" s="2328"/>
      <c r="BU130" s="2328"/>
      <c r="BV130" s="1852"/>
      <c r="BW130" s="1852"/>
      <c r="BX130" s="1852"/>
      <c r="BY130" s="1852"/>
      <c r="BZ130" s="1852"/>
      <c r="CA130" s="1852"/>
      <c r="CB130" s="1852"/>
      <c r="CC130" s="1852"/>
      <c r="CD130" s="1852"/>
      <c r="CE130" s="1852"/>
    </row>
    <row s="63225" customFormat="1" customHeight="1" ht="11.25" hidden="1">
      <c r="A131" s="2485"/>
      <c r="B131" s="2328"/>
      <c r="C131" s="2328"/>
      <c r="D131" s="3271"/>
      <c r="E131" s="1327"/>
      <c r="F131" s="1327">
        <v>0</v>
      </c>
      <c r="G131" s="1327"/>
      <c r="H131" s="1327"/>
      <c r="I131" s="1327"/>
      <c r="J131" s="1327"/>
      <c r="K131" s="1327"/>
      <c r="L131" s="1327"/>
      <c r="M131" s="1327"/>
      <c r="N131" s="1327"/>
      <c r="O131" s="1327"/>
      <c r="P131" s="1327"/>
      <c r="Q131" s="1327"/>
      <c r="R131" s="1327"/>
      <c r="S131" s="1328"/>
      <c r="T131" s="1410"/>
      <c r="U131" s="3066"/>
      <c r="V131" s="3066"/>
      <c r="W131" s="2328"/>
      <c r="X131" s="2328"/>
      <c r="Y131" s="2328"/>
      <c r="Z131" s="2328"/>
      <c r="AA131" s="2328"/>
      <c r="AB131" s="1852"/>
      <c r="AC131" s="3067"/>
      <c r="AD131" s="1321"/>
      <c r="AE131" s="1852"/>
      <c r="AF131" s="1852"/>
      <c r="AG131" s="2328"/>
      <c r="AH131" s="2328"/>
      <c r="AI131" s="2328"/>
      <c r="AJ131" s="2328"/>
      <c r="AK131" s="2328"/>
      <c r="AL131" s="2328"/>
      <c r="AM131" s="2328"/>
      <c r="AN131" s="2328"/>
      <c r="AO131" s="2328"/>
      <c r="AP131" s="2328"/>
      <c r="AQ131" s="2328"/>
      <c r="AR131" s="2328"/>
      <c r="AS131" s="2328"/>
      <c r="AT131" s="2328"/>
      <c r="AU131" s="2328"/>
      <c r="AV131" s="2328"/>
      <c r="AW131" s="2328"/>
      <c r="AX131" s="2328"/>
      <c r="AY131" s="2328"/>
      <c r="AZ131" s="2328"/>
      <c r="BA131" s="2328"/>
      <c r="BB131" s="2328"/>
      <c r="BC131" s="2328"/>
      <c r="BD131" s="2328"/>
      <c r="BE131" s="2328"/>
      <c r="BF131" s="2328"/>
      <c r="BG131" s="2328"/>
      <c r="BH131" s="2328"/>
      <c r="BI131" s="2328"/>
      <c r="BJ131" s="2328"/>
      <c r="BK131" s="2328"/>
      <c r="BL131" s="2328"/>
      <c r="BM131" s="2328"/>
      <c r="BN131" s="2328"/>
      <c r="BO131" s="2328"/>
      <c r="BP131" s="2328"/>
      <c r="BQ131" s="2328"/>
      <c r="BR131" s="2328"/>
      <c r="BS131" s="2328"/>
      <c r="BT131" s="2328"/>
      <c r="BU131" s="2328"/>
      <c r="BV131" s="2328"/>
      <c r="BW131" s="2328"/>
      <c r="BX131" s="2328"/>
      <c r="BY131" s="2328"/>
      <c r="BZ131" s="2328"/>
      <c r="CA131" s="2328"/>
      <c r="CB131" s="2328"/>
      <c r="CC131" s="2328"/>
      <c r="CD131" s="2328"/>
      <c r="CE131" s="2328"/>
    </row>
    <row s="63225" customFormat="1" customHeight="1" ht="11.25">
      <c r="A132" s="2498"/>
      <c r="B132" s="1852"/>
      <c r="C132" s="1104"/>
      <c r="D132" s="3271"/>
      <c r="E132" s="1341" t="s">
        <v>28</v>
      </c>
      <c r="F132" s="1860" t="s">
        <v>28</v>
      </c>
      <c r="G132" s="1860" t="s">
        <v>2008</v>
      </c>
      <c r="H132" s="1343" t="s">
        <v>28</v>
      </c>
      <c r="I132" s="1343"/>
      <c r="J132" s="1343"/>
      <c r="K132" s="1343"/>
      <c r="L132" s="1343"/>
      <c r="M132" s="1343"/>
      <c r="N132" s="1343"/>
      <c r="O132" s="1343"/>
      <c r="P132" s="1343"/>
      <c r="Q132" s="1343"/>
      <c r="R132" s="1344"/>
      <c r="S132" s="1345"/>
      <c r="T132" s="1410"/>
      <c r="U132" s="3066"/>
      <c r="V132" s="3066"/>
      <c r="W132" s="1852"/>
      <c r="X132" s="1852"/>
      <c r="Y132" s="1852"/>
      <c r="Z132" s="1852"/>
      <c r="AA132" s="2328"/>
      <c r="AB132" s="1852"/>
      <c r="AC132" s="3067"/>
      <c r="AD132" s="1321"/>
      <c r="AE132" s="1852"/>
      <c r="AF132" s="1852"/>
      <c r="AG132" s="2328"/>
      <c r="AH132" s="2328"/>
      <c r="AI132" s="2328"/>
      <c r="AJ132" s="2328"/>
      <c r="AK132" s="2328"/>
      <c r="AL132" s="2328"/>
      <c r="AM132" s="2328"/>
      <c r="AN132" s="2328"/>
      <c r="AO132" s="2328"/>
      <c r="AP132" s="2328"/>
      <c r="AQ132" s="2328"/>
      <c r="AR132" s="2328"/>
      <c r="AS132" s="2328"/>
      <c r="AT132" s="2328"/>
      <c r="AU132" s="2328"/>
      <c r="AV132" s="2328"/>
      <c r="AW132" s="2328"/>
      <c r="AX132" s="2328"/>
      <c r="AY132" s="2328"/>
      <c r="AZ132" s="2328"/>
      <c r="BA132" s="2328"/>
      <c r="BB132" s="2328"/>
      <c r="BC132" s="2328"/>
      <c r="BD132" s="2328"/>
      <c r="BE132" s="2328"/>
      <c r="BF132" s="2328"/>
      <c r="BG132" s="2328"/>
      <c r="BH132" s="2328"/>
      <c r="BI132" s="2328"/>
      <c r="BJ132" s="2328"/>
      <c r="BK132" s="2328"/>
      <c r="BL132" s="2328"/>
      <c r="BM132" s="2328"/>
      <c r="BN132" s="2328"/>
      <c r="BO132" s="2328"/>
      <c r="BP132" s="2328"/>
      <c r="BQ132" s="2328"/>
      <c r="BR132" s="2328"/>
      <c r="BS132" s="2328"/>
      <c r="BT132" s="2328"/>
      <c r="BU132" s="2328"/>
      <c r="BV132" s="1852"/>
      <c r="BW132" s="1852"/>
      <c r="BX132" s="1852"/>
      <c r="BY132" s="1852"/>
      <c r="BZ132" s="1852"/>
      <c r="CA132" s="1852"/>
      <c r="CB132" s="1852"/>
      <c r="CC132" s="1852"/>
      <c r="CD132" s="1852"/>
      <c r="CE132" s="1852"/>
    </row>
    <row s="63182" customFormat="1" customHeight="1" ht="5.25" hidden="1">
      <c r="A133" s="2485"/>
      <c r="B133" s="2328"/>
      <c r="C133" s="2328"/>
      <c r="D133" s="3271"/>
      <c r="E133" s="1731"/>
      <c r="F133" s="1731"/>
      <c r="G133" s="1731"/>
      <c r="H133" s="1731"/>
      <c r="I133" s="1731"/>
      <c r="J133" s="1731"/>
      <c r="K133" s="1731"/>
      <c r="L133" s="1731"/>
      <c r="M133" s="1731"/>
      <c r="N133" s="1731"/>
      <c r="O133" s="1731"/>
      <c r="P133" s="1731"/>
      <c r="Q133" s="1732"/>
      <c r="R133" s="1733"/>
      <c r="S133" s="1734"/>
      <c r="T133" s="1409" t="s">
        <v>686</v>
      </c>
      <c r="U133" s="3066">
        <v>1</v>
      </c>
      <c r="V133" s="3066" t="s">
        <v>649</v>
      </c>
      <c r="W133" s="2328"/>
      <c r="X133" s="2328"/>
      <c r="Y133" s="2328"/>
      <c r="Z133" s="2328"/>
      <c r="AA133" s="2328"/>
      <c r="AB133" s="2328"/>
      <c r="AC133" s="1729"/>
      <c r="AD133" s="1730"/>
      <c r="AE133" s="2328"/>
      <c r="AF133" s="2328"/>
      <c r="AG133" s="2328"/>
      <c r="AH133" s="2328"/>
      <c r="AI133" s="2328"/>
      <c r="AJ133" s="2328"/>
      <c r="AK133" s="2328"/>
      <c r="AL133" s="2328"/>
      <c r="AM133" s="2328"/>
      <c r="AN133" s="2328"/>
      <c r="AO133" s="2328"/>
      <c r="AP133" s="2328"/>
      <c r="AQ133" s="2328"/>
      <c r="AR133" s="2328"/>
      <c r="AS133" s="2328"/>
      <c r="AT133" s="2328"/>
      <c r="AU133" s="2328"/>
      <c r="AV133" s="2328"/>
      <c r="AW133" s="2328"/>
      <c r="AX133" s="2328"/>
      <c r="AY133" s="2328"/>
      <c r="AZ133" s="2328"/>
      <c r="BA133" s="2328"/>
      <c r="BB133" s="2328"/>
      <c r="BC133" s="2328"/>
      <c r="BD133" s="2328"/>
      <c r="BE133" s="2328"/>
      <c r="BF133" s="2328"/>
      <c r="BG133" s="2328"/>
      <c r="BH133" s="2328"/>
      <c r="BI133" s="2328"/>
      <c r="BJ133" s="2328"/>
      <c r="BK133" s="2328"/>
      <c r="BL133" s="2328"/>
      <c r="BM133" s="2328"/>
      <c r="BN133" s="2328"/>
      <c r="BO133" s="2328"/>
      <c r="BP133" s="2328"/>
      <c r="BQ133" s="2328"/>
      <c r="BR133" s="2328"/>
      <c r="BS133" s="2328"/>
      <c r="BT133" s="2328"/>
      <c r="BU133" s="2328"/>
      <c r="BV133" s="2328"/>
      <c r="BW133" s="2328"/>
      <c r="BX133" s="2328"/>
      <c r="BY133" s="2328"/>
      <c r="BZ133" s="2328"/>
      <c r="CA133" s="2328"/>
      <c r="CB133" s="2328"/>
      <c r="CC133" s="2328"/>
      <c r="CD133" s="2328"/>
      <c r="CE133" s="2328"/>
    </row>
    <row s="63182" customFormat="1" customHeight="1" ht="5.25" hidden="1">
      <c r="A134" s="2485"/>
      <c r="B134" s="2328"/>
      <c r="C134" s="2328"/>
      <c r="D134" s="3271"/>
      <c r="E134" s="1327"/>
      <c r="F134" s="1327"/>
      <c r="G134" s="1327"/>
      <c r="H134" s="1327"/>
      <c r="I134" s="1327"/>
      <c r="J134" s="1327"/>
      <c r="K134" s="1327"/>
      <c r="L134" s="1327"/>
      <c r="M134" s="1327"/>
      <c r="N134" s="1327"/>
      <c r="O134" s="1327"/>
      <c r="P134" s="1327"/>
      <c r="Q134" s="1327"/>
      <c r="R134" s="1327"/>
      <c r="S134" s="1328"/>
      <c r="T134" s="1410"/>
      <c r="U134" s="3066"/>
      <c r="V134" s="3066"/>
      <c r="W134" s="2328"/>
      <c r="X134" s="2328"/>
      <c r="Y134" s="2328"/>
      <c r="Z134" s="2328"/>
      <c r="AA134" s="2328"/>
      <c r="AB134" s="2328"/>
      <c r="AC134" s="1729"/>
      <c r="AD134" s="1730"/>
      <c r="AE134" s="2328"/>
      <c r="AF134" s="2328"/>
      <c r="AG134" s="2328"/>
      <c r="AH134" s="2328"/>
      <c r="AI134" s="2328"/>
      <c r="AJ134" s="2328"/>
      <c r="AK134" s="2328"/>
      <c r="AL134" s="2328"/>
      <c r="AM134" s="2328"/>
      <c r="AN134" s="2328"/>
      <c r="AO134" s="2328"/>
      <c r="AP134" s="2328"/>
      <c r="AQ134" s="2328"/>
      <c r="AR134" s="2328"/>
      <c r="AS134" s="2328"/>
      <c r="AT134" s="2328"/>
      <c r="AU134" s="2328"/>
      <c r="AV134" s="2328"/>
      <c r="AW134" s="2328"/>
      <c r="AX134" s="2328"/>
      <c r="AY134" s="2328"/>
      <c r="AZ134" s="2328"/>
      <c r="BA134" s="2328"/>
      <c r="BB134" s="2328"/>
      <c r="BC134" s="2328"/>
      <c r="BD134" s="2328"/>
      <c r="BE134" s="2328"/>
      <c r="BF134" s="2328"/>
      <c r="BG134" s="2328"/>
      <c r="BH134" s="2328"/>
      <c r="BI134" s="2328"/>
      <c r="BJ134" s="2328"/>
      <c r="BK134" s="2328"/>
      <c r="BL134" s="2328"/>
      <c r="BM134" s="2328"/>
      <c r="BN134" s="2328"/>
      <c r="BO134" s="2328"/>
      <c r="BP134" s="2328"/>
      <c r="BQ134" s="2328"/>
      <c r="BR134" s="2328"/>
      <c r="BS134" s="2328"/>
      <c r="BT134" s="2328"/>
      <c r="BU134" s="2328"/>
      <c r="BV134" s="2328"/>
      <c r="BW134" s="2328"/>
      <c r="BX134" s="2328"/>
      <c r="BY134" s="2328"/>
      <c r="BZ134" s="2328"/>
      <c r="CA134" s="2328"/>
      <c r="CB134" s="2328"/>
      <c r="CC134" s="2328"/>
      <c r="CD134" s="2328"/>
      <c r="CE134" s="2328"/>
    </row>
    <row s="63182" customFormat="1" customHeight="1" ht="5.25" hidden="1">
      <c r="A135" s="2485"/>
      <c r="B135" s="2328"/>
      <c r="C135" s="2328"/>
      <c r="D135" s="3272"/>
      <c r="E135" s="1735"/>
      <c r="F135" s="1736"/>
      <c r="G135" s="1736"/>
      <c r="H135" s="1737"/>
      <c r="I135" s="1737"/>
      <c r="J135" s="1737"/>
      <c r="K135" s="1737"/>
      <c r="L135" s="1737"/>
      <c r="M135" s="1737"/>
      <c r="N135" s="1737"/>
      <c r="O135" s="1737"/>
      <c r="P135" s="1737"/>
      <c r="Q135" s="1737"/>
      <c r="R135" s="1638"/>
      <c r="S135" s="1738"/>
      <c r="T135" s="1410"/>
      <c r="U135" s="3066"/>
      <c r="V135" s="3066"/>
      <c r="W135" s="2328"/>
      <c r="X135" s="2328"/>
      <c r="Y135" s="2328"/>
      <c r="Z135" s="2328"/>
      <c r="AA135" s="2328"/>
      <c r="AB135" s="2328"/>
      <c r="AC135" s="1729"/>
      <c r="AD135" s="1730"/>
      <c r="AE135" s="2328"/>
      <c r="AF135" s="2328"/>
      <c r="AG135" s="2328"/>
      <c r="AH135" s="2328"/>
      <c r="AI135" s="2328"/>
      <c r="AJ135" s="2328"/>
      <c r="AK135" s="2328"/>
      <c r="AL135" s="2328"/>
      <c r="AM135" s="2328"/>
      <c r="AN135" s="2328"/>
      <c r="AO135" s="2328"/>
      <c r="AP135" s="2328"/>
      <c r="AQ135" s="2328"/>
      <c r="AR135" s="2328"/>
      <c r="AS135" s="2328"/>
      <c r="AT135" s="2328"/>
      <c r="AU135" s="2328"/>
      <c r="AV135" s="2328"/>
      <c r="AW135" s="2328"/>
      <c r="AX135" s="2328"/>
      <c r="AY135" s="2328"/>
      <c r="AZ135" s="2328"/>
      <c r="BA135" s="2328"/>
      <c r="BB135" s="2328"/>
      <c r="BC135" s="2328"/>
      <c r="BD135" s="2328"/>
      <c r="BE135" s="2328"/>
      <c r="BF135" s="2328"/>
      <c r="BG135" s="2328"/>
      <c r="BH135" s="2328"/>
      <c r="BI135" s="2328"/>
      <c r="BJ135" s="2328"/>
      <c r="BK135" s="2328"/>
      <c r="BL135" s="2328"/>
      <c r="BM135" s="2328"/>
      <c r="BN135" s="2328"/>
      <c r="BO135" s="2328"/>
      <c r="BP135" s="2328"/>
      <c r="BQ135" s="2328"/>
      <c r="BR135" s="2328"/>
      <c r="BS135" s="2328"/>
      <c r="BT135" s="2328"/>
      <c r="BU135" s="2328"/>
      <c r="BV135" s="2328"/>
      <c r="BW135" s="2328"/>
      <c r="BX135" s="2328"/>
      <c r="BY135" s="2328"/>
      <c r="BZ135" s="2328"/>
      <c r="CA135" s="2328"/>
      <c r="CB135" s="2328"/>
      <c r="CC135" s="2328"/>
      <c r="CD135" s="2328"/>
      <c r="CE135" s="2328"/>
    </row>
    <row customHeight="1" ht="17.25">
      <c r="D136" s="2528"/>
    </row>
    <row s="62813" customFormat="1" customHeight="1" ht="11.25">
      <c r="A137" s="2507" t="s">
        <v>2010</v>
      </c>
    </row>
    <row r="139" s="63225" customFormat="1" customHeight="1" ht="45">
      <c r="A139" s="2498"/>
      <c r="B139" s="1852"/>
      <c r="C139" s="1104"/>
      <c r="D139" s="781"/>
      <c r="E139" s="3264"/>
      <c r="F139" s="2800" t="s">
        <v>118</v>
      </c>
      <c r="G139" s="3267" t="s">
        <v>28</v>
      </c>
      <c r="H139" s="981"/>
      <c r="I139" s="1329" t="s">
        <v>118</v>
      </c>
      <c r="J139" s="2499" t="s">
        <v>2011</v>
      </c>
      <c r="K139" s="1330" t="s">
        <v>620</v>
      </c>
      <c r="L139" s="2916" t="s">
        <v>620</v>
      </c>
      <c r="M139" s="3269"/>
      <c r="N139" s="1330" t="s">
        <v>620</v>
      </c>
      <c r="O139" s="1330" t="s">
        <v>620</v>
      </c>
      <c r="P139" s="1330" t="s">
        <v>620</v>
      </c>
      <c r="Q139" s="1331">
        <f>SUM(Q140:Q142)</f>
        <v>0</v>
      </c>
      <c r="R139" s="1331">
        <f>IF(R136=0,0,(Q136/R136)*100)</f>
        <v>0</v>
      </c>
      <c r="S139" s="2871"/>
      <c r="T139" s="1409" t="s">
        <v>686</v>
      </c>
      <c r="U139" s="781"/>
      <c r="V139" s="781"/>
      <c r="AC139" s="781"/>
    </row>
    <row s="63225" customFormat="1" customHeight="1" ht="11.25">
      <c r="A140" s="2498"/>
      <c r="B140" s="1852"/>
      <c r="C140" s="1104"/>
      <c r="D140" s="781"/>
      <c r="E140" s="3265"/>
      <c r="F140" s="2800"/>
      <c r="G140" s="3267"/>
      <c r="H140" s="2819"/>
      <c r="I140" s="3207" t="s">
        <v>1095</v>
      </c>
      <c r="J140" s="3261"/>
      <c r="K140" s="3262"/>
      <c r="L140" s="1332"/>
      <c r="M140" s="1333" t="s">
        <v>118</v>
      </c>
      <c r="N140" s="2487"/>
      <c r="O140" s="1334"/>
      <c r="P140" s="1335"/>
      <c r="Q140" s="1334"/>
      <c r="R140" s="1336">
        <v>0</v>
      </c>
      <c r="S140" s="2871"/>
      <c r="T140" s="1409"/>
      <c r="U140" s="781"/>
      <c r="V140" s="781"/>
      <c r="AC140" s="781"/>
    </row>
    <row s="63225" customFormat="1" customHeight="1" ht="11.25">
      <c r="A141" s="2498"/>
      <c r="B141" s="1852"/>
      <c r="C141" s="1104"/>
      <c r="D141" s="781"/>
      <c r="E141" s="3265"/>
      <c r="F141" s="2800"/>
      <c r="G141" s="3267"/>
      <c r="H141" s="2819"/>
      <c r="I141" s="3207"/>
      <c r="J141" s="3261"/>
      <c r="K141" s="3263"/>
      <c r="L141" s="1337"/>
      <c r="M141" s="1338"/>
      <c r="N141" s="1339" t="s">
        <v>2012</v>
      </c>
      <c r="O141" s="1339"/>
      <c r="P141" s="1339"/>
      <c r="Q141" s="1339"/>
      <c r="R141" s="1340"/>
      <c r="S141" s="2871"/>
      <c r="T141" s="1409"/>
      <c r="U141" s="781"/>
      <c r="V141" s="781"/>
      <c r="AC141" s="781"/>
    </row>
    <row s="63225" customFormat="1" customHeight="1" ht="11.25">
      <c r="A142" s="2498"/>
      <c r="B142" s="1852"/>
      <c r="C142" s="1104"/>
      <c r="D142" s="781"/>
      <c r="E142" s="3266"/>
      <c r="F142" s="2800"/>
      <c r="G142" s="3268"/>
      <c r="H142" s="1337" t="s">
        <v>28</v>
      </c>
      <c r="I142" s="1338"/>
      <c r="J142" s="1339" t="s">
        <v>2013</v>
      </c>
      <c r="K142" s="1339"/>
      <c r="L142" s="1339"/>
      <c r="M142" s="1339"/>
      <c r="N142" s="1339"/>
      <c r="O142" s="1339"/>
      <c r="P142" s="1339"/>
      <c r="Q142" s="1339"/>
      <c r="R142" s="1340"/>
      <c r="S142" s="2871"/>
      <c r="T142" s="1409"/>
      <c r="U142" s="781"/>
      <c r="V142" s="781"/>
      <c r="AC142" s="781"/>
    </row>
    <row r="147" s="63225" customFormat="1" customHeight="1" ht="11.25">
      <c r="A147" s="2498"/>
      <c r="B147" s="1852"/>
      <c r="C147" s="1104"/>
      <c r="D147" s="781"/>
      <c r="E147" s="2522"/>
      <c r="F147" s="2522"/>
      <c r="G147" s="2522"/>
      <c r="H147" s="2819"/>
      <c r="I147" s="3207" t="s">
        <v>1095</v>
      </c>
      <c r="J147" s="3261"/>
      <c r="K147" s="3262"/>
      <c r="L147" s="1332"/>
      <c r="M147" s="1333" t="s">
        <v>118</v>
      </c>
      <c r="N147" s="2487"/>
      <c r="O147" s="1334"/>
      <c r="P147" s="1335"/>
      <c r="Q147" s="1334"/>
      <c r="R147" s="1336">
        <v>0</v>
      </c>
      <c r="S147" s="781"/>
      <c r="T147" s="1409"/>
      <c r="U147" s="781"/>
      <c r="V147" s="781"/>
      <c r="AC147" s="781"/>
    </row>
    <row s="63225" customFormat="1" customHeight="1" ht="11.25">
      <c r="A148" s="2498"/>
      <c r="B148" s="1852"/>
      <c r="C148" s="1104"/>
      <c r="D148" s="781"/>
      <c r="E148" s="2522"/>
      <c r="F148" s="2522"/>
      <c r="G148" s="2522"/>
      <c r="H148" s="2819"/>
      <c r="I148" s="3207"/>
      <c r="J148" s="3261"/>
      <c r="K148" s="3263"/>
      <c r="L148" s="1337"/>
      <c r="M148" s="1338"/>
      <c r="N148" s="1339" t="s">
        <v>2012</v>
      </c>
      <c r="O148" s="1339"/>
      <c r="P148" s="1339"/>
      <c r="Q148" s="1339"/>
      <c r="R148" s="1340"/>
      <c r="S148" s="781"/>
      <c r="T148" s="1409"/>
      <c r="U148" s="781"/>
      <c r="V148" s="781"/>
      <c r="AC148" s="781"/>
    </row>
    <row r="150" s="63225" customFormat="1" customHeight="1" ht="11.25">
      <c r="A150" s="2498"/>
      <c r="B150" s="1852"/>
      <c r="C150" s="1104"/>
      <c r="D150" s="781"/>
      <c r="E150" s="2529"/>
      <c r="F150" s="2527"/>
      <c r="G150" s="2527"/>
      <c r="H150" s="2530"/>
      <c r="I150" s="2522"/>
      <c r="J150" s="2523"/>
      <c r="K150" s="2523"/>
      <c r="L150" s="1332"/>
      <c r="M150" s="1333" t="s">
        <v>118</v>
      </c>
      <c r="N150" s="2487"/>
      <c r="O150" s="1334"/>
      <c r="P150" s="1335"/>
      <c r="Q150" s="1334"/>
      <c r="R150" s="1336">
        <v>0</v>
      </c>
      <c r="S150" s="781"/>
      <c r="T150" s="1409"/>
      <c r="U150" s="781"/>
      <c r="V150" s="781"/>
      <c r="AC150" s="781"/>
    </row>
    <row r="152" s="62813" customFormat="1" customHeight="1" ht="17.25">
      <c r="A152" s="2507" t="s">
        <v>2014</v>
      </c>
    </row>
    <row customHeight="1" ht="17.25">
      <c r="G153" s="2531"/>
      <c r="H153" s="2531"/>
      <c r="I153" s="2531"/>
      <c r="M153" s="2527"/>
    </row>
    <row s="63055" customFormat="1" customHeight="1" ht="17.25">
      <c r="A154" s="2532"/>
      <c r="C154" s="2534"/>
      <c r="D154" s="3221"/>
      <c r="E154" s="2835"/>
      <c r="F154" s="2837"/>
      <c r="G154" s="3223"/>
      <c r="H154" s="3221"/>
      <c r="I154" s="3221">
        <v>1</v>
      </c>
      <c r="J154" s="3193"/>
      <c r="K154" s="2877" t="s">
        <v>67</v>
      </c>
      <c r="L154" s="2800"/>
      <c r="M154" s="2800" t="s">
        <v>118</v>
      </c>
      <c r="N154" s="3196" t="str">
        <f>IF(Z154="","",INDEX(TERRITORY_MR_LIST,MATCH(Z154,TERRITORY_LIST_ID,0)))</f>
        <v/>
      </c>
      <c r="O154" s="2877" t="s">
        <v>67</v>
      </c>
      <c r="P154" s="2800"/>
      <c r="Q154" s="2800" t="s">
        <v>118</v>
      </c>
      <c r="R154" s="3194" t="s">
        <v>28</v>
      </c>
      <c r="S154" s="2799" t="s">
        <v>67</v>
      </c>
      <c r="T154" s="2503"/>
      <c r="U154" s="2503" t="s">
        <v>118</v>
      </c>
      <c r="V154" s="2535" t="s">
        <v>28</v>
      </c>
      <c r="W154" s="2493"/>
      <c r="Y154" s="1959"/>
      <c r="Z154" s="1959"/>
      <c r="AA154" s="1959"/>
      <c r="AB154" s="1959"/>
      <c r="AC154" s="1959"/>
      <c r="AD154" s="1959"/>
      <c r="AE154" s="1959"/>
      <c r="AF154" s="1959"/>
      <c r="AG154" s="1959"/>
      <c r="AH154" s="1959"/>
      <c r="AI154" s="1959"/>
      <c r="AJ154" s="1959"/>
      <c r="AK154" s="1959"/>
      <c r="AL154" s="2536"/>
      <c r="AM154" s="2536"/>
      <c r="AN154" s="1959"/>
      <c r="AO154" s="1959"/>
      <c r="AP154" s="1959"/>
      <c r="AQ154" s="1959"/>
    </row>
    <row s="63055" customFormat="1" customHeight="1" ht="17.25">
      <c r="A155" s="2532"/>
      <c r="C155" s="2537"/>
      <c r="D155" s="3221"/>
      <c r="E155" s="2835"/>
      <c r="F155" s="2838"/>
      <c r="G155" s="3223"/>
      <c r="H155" s="3221"/>
      <c r="I155" s="3221"/>
      <c r="J155" s="3193"/>
      <c r="K155" s="2878"/>
      <c r="L155" s="2800"/>
      <c r="M155" s="2800"/>
      <c r="N155" s="3196"/>
      <c r="O155" s="2878"/>
      <c r="P155" s="2800"/>
      <c r="Q155" s="2800"/>
      <c r="R155" s="3194"/>
      <c r="S155" s="2799"/>
      <c r="T155" s="1009"/>
      <c r="U155" s="1010"/>
      <c r="V155" s="1010" t="s">
        <v>171</v>
      </c>
      <c r="W155" s="1011"/>
      <c r="Y155" s="1951"/>
      <c r="Z155" s="1951"/>
      <c r="AA155" s="1951"/>
      <c r="AB155" s="1951"/>
      <c r="AC155" s="1951"/>
      <c r="AD155" s="1951"/>
      <c r="AE155" s="1951"/>
      <c r="AF155" s="1951"/>
      <c r="AG155" s="1951"/>
      <c r="AH155" s="1951"/>
      <c r="AI155" s="1951"/>
      <c r="AJ155" s="1951"/>
      <c r="AK155" s="1951"/>
    </row>
    <row s="63055" customFormat="1" customHeight="1" ht="17.25">
      <c r="A156" s="2532"/>
      <c r="C156" s="2537"/>
      <c r="D156" s="3195"/>
      <c r="E156" s="3222"/>
      <c r="F156" s="2838"/>
      <c r="G156" s="3224"/>
      <c r="H156" s="3195"/>
      <c r="I156" s="3195"/>
      <c r="J156" s="3225"/>
      <c r="K156" s="2878"/>
      <c r="L156" s="3195"/>
      <c r="M156" s="3195"/>
      <c r="N156" s="3197"/>
      <c r="O156" s="2804"/>
      <c r="P156" s="1009"/>
      <c r="Q156" s="1010"/>
      <c r="R156" s="1010" t="s">
        <v>172</v>
      </c>
      <c r="S156" s="2538"/>
      <c r="T156" s="2538"/>
      <c r="U156" s="2538"/>
      <c r="V156" s="2538"/>
      <c r="W156" s="1011"/>
      <c r="Y156" s="1951"/>
      <c r="Z156" s="1951"/>
      <c r="AA156" s="1951"/>
      <c r="AB156" s="1951"/>
      <c r="AC156" s="1951"/>
      <c r="AD156" s="1951"/>
      <c r="AE156" s="1951"/>
      <c r="AF156" s="1951"/>
      <c r="AG156" s="1951"/>
      <c r="AH156" s="1951"/>
      <c r="AI156" s="1951"/>
      <c r="AJ156" s="1951"/>
      <c r="AK156" s="1951"/>
    </row>
    <row s="63055" customFormat="1" customHeight="1" ht="17.25">
      <c r="A157" s="2532"/>
      <c r="C157" s="2537"/>
      <c r="D157" s="3195"/>
      <c r="E157" s="3222"/>
      <c r="F157" s="2838"/>
      <c r="G157" s="3224"/>
      <c r="H157" s="3195"/>
      <c r="I157" s="3195"/>
      <c r="J157" s="3225"/>
      <c r="K157" s="2804"/>
      <c r="L157" s="1009"/>
      <c r="M157" s="1010"/>
      <c r="N157" s="1010" t="s">
        <v>173</v>
      </c>
      <c r="O157" s="1010"/>
      <c r="P157" s="1010"/>
      <c r="Q157" s="1010"/>
      <c r="R157" s="1010"/>
      <c r="S157" s="2538"/>
      <c r="T157" s="2538"/>
      <c r="U157" s="2538"/>
      <c r="V157" s="2538"/>
      <c r="W157" s="1011"/>
      <c r="Y157" s="1951"/>
      <c r="Z157" s="1951"/>
      <c r="AA157" s="1951"/>
      <c r="AB157" s="1951"/>
      <c r="AC157" s="1951"/>
      <c r="AD157" s="1951"/>
      <c r="AE157" s="1951"/>
      <c r="AF157" s="1951"/>
      <c r="AG157" s="1951"/>
      <c r="AH157" s="1951"/>
      <c r="AI157" s="1951"/>
      <c r="AJ157" s="1951"/>
      <c r="AK157" s="1951"/>
    </row>
    <row s="63055" customFormat="1" customHeight="1" ht="17.25">
      <c r="A158" s="2532"/>
      <c r="C158" s="2537"/>
      <c r="D158" s="3195"/>
      <c r="E158" s="3222"/>
      <c r="F158" s="2839"/>
      <c r="G158" s="3224"/>
      <c r="H158" s="1009"/>
      <c r="I158" s="1010"/>
      <c r="J158" s="1010" t="s">
        <v>186</v>
      </c>
      <c r="K158" s="1010"/>
      <c r="L158" s="1010"/>
      <c r="M158" s="1010"/>
      <c r="N158" s="1010"/>
      <c r="O158" s="1010"/>
      <c r="P158" s="1010"/>
      <c r="Q158" s="1010"/>
      <c r="R158" s="1010"/>
      <c r="S158" s="2538"/>
      <c r="T158" s="2538"/>
      <c r="U158" s="2538"/>
      <c r="V158" s="2538"/>
      <c r="W158" s="1011"/>
      <c r="Y158" s="1951"/>
      <c r="Z158" s="1951"/>
      <c r="AA158" s="1951"/>
      <c r="AB158" s="1951"/>
      <c r="AC158" s="1951"/>
      <c r="AD158" s="1951"/>
      <c r="AE158" s="1951"/>
      <c r="AF158" s="1951"/>
      <c r="AG158" s="1951"/>
      <c r="AH158" s="1951"/>
      <c r="AI158" s="1951"/>
      <c r="AJ158" s="1951"/>
      <c r="AK158" s="1951"/>
    </row>
    <row customHeight="1" ht="17.25">
      <c r="G159" s="2531"/>
      <c r="H159" s="2531"/>
      <c r="I159" s="2531"/>
      <c r="M159" s="2527"/>
    </row>
    <row s="63055" customFormat="1" customHeight="1" ht="17.25">
      <c r="A160" s="2532"/>
      <c r="C160" s="2534"/>
      <c r="D160" s="2522"/>
      <c r="E160" s="2539"/>
      <c r="F160" s="2476"/>
      <c r="G160" s="2540"/>
      <c r="H160" s="3221"/>
      <c r="I160" s="3221">
        <v>1</v>
      </c>
      <c r="J160" s="3193"/>
      <c r="K160" s="2877" t="s">
        <v>67</v>
      </c>
      <c r="L160" s="2800"/>
      <c r="M160" s="2800" t="s">
        <v>118</v>
      </c>
      <c r="N160" s="3196" t="str">
        <f>IF(Z160="","",INDEX(TERRITORY_MR_LIST,MATCH(Z160,TERRITORY_LIST_ID,0)))</f>
        <v/>
      </c>
      <c r="O160" s="2877" t="s">
        <v>67</v>
      </c>
      <c r="P160" s="2800"/>
      <c r="Q160" s="2800" t="s">
        <v>118</v>
      </c>
      <c r="R160" s="3194" t="s">
        <v>28</v>
      </c>
      <c r="S160" s="2799" t="s">
        <v>67</v>
      </c>
      <c r="T160" s="2503"/>
      <c r="U160" s="2503" t="s">
        <v>118</v>
      </c>
      <c r="V160" s="2535" t="s">
        <v>28</v>
      </c>
      <c r="W160" s="2493"/>
      <c r="Y160" s="1959"/>
      <c r="Z160" s="1959"/>
      <c r="AA160" s="1959"/>
      <c r="AB160" s="1959"/>
      <c r="AC160" s="1959"/>
      <c r="AD160" s="1959"/>
      <c r="AE160" s="1959"/>
      <c r="AF160" s="1959"/>
      <c r="AG160" s="1959"/>
      <c r="AH160" s="1959"/>
      <c r="AI160" s="1959"/>
      <c r="AJ160" s="1959"/>
      <c r="AK160" s="1959"/>
      <c r="AL160" s="2536"/>
      <c r="AM160" s="2536"/>
      <c r="AN160" s="1959"/>
      <c r="AO160" s="1959"/>
      <c r="AP160" s="1959"/>
      <c r="AQ160" s="1959"/>
    </row>
    <row s="63055" customFormat="1" customHeight="1" ht="17.25">
      <c r="A161" s="2532"/>
      <c r="C161" s="2537"/>
      <c r="D161" s="2522"/>
      <c r="E161" s="2539"/>
      <c r="F161" s="2476"/>
      <c r="G161" s="2540"/>
      <c r="H161" s="3221"/>
      <c r="I161" s="3221"/>
      <c r="J161" s="3193"/>
      <c r="K161" s="2878"/>
      <c r="L161" s="2800"/>
      <c r="M161" s="2800"/>
      <c r="N161" s="3196"/>
      <c r="O161" s="2878"/>
      <c r="P161" s="2800"/>
      <c r="Q161" s="2800"/>
      <c r="R161" s="3194"/>
      <c r="S161" s="2799"/>
      <c r="T161" s="1009"/>
      <c r="U161" s="1010"/>
      <c r="V161" s="1010" t="s">
        <v>171</v>
      </c>
      <c r="W161" s="1011"/>
      <c r="Y161" s="1951"/>
      <c r="Z161" s="1951"/>
      <c r="AA161" s="1951"/>
      <c r="AB161" s="1951"/>
      <c r="AC161" s="1951"/>
      <c r="AD161" s="1951"/>
      <c r="AE161" s="1951"/>
      <c r="AF161" s="1951"/>
      <c r="AG161" s="1951"/>
      <c r="AH161" s="1951"/>
      <c r="AI161" s="1951"/>
      <c r="AJ161" s="1951"/>
      <c r="AK161" s="1951"/>
    </row>
    <row s="63055" customFormat="1" customHeight="1" ht="17.25">
      <c r="A162" s="2532"/>
      <c r="C162" s="2537"/>
      <c r="D162" s="2522"/>
      <c r="E162" s="2539"/>
      <c r="F162" s="2476"/>
      <c r="G162" s="2540"/>
      <c r="H162" s="3195"/>
      <c r="I162" s="3195"/>
      <c r="J162" s="3225"/>
      <c r="K162" s="2878"/>
      <c r="L162" s="3195"/>
      <c r="M162" s="3195"/>
      <c r="N162" s="3197"/>
      <c r="O162" s="2804"/>
      <c r="P162" s="1009"/>
      <c r="Q162" s="1010"/>
      <c r="R162" s="1010" t="s">
        <v>172</v>
      </c>
      <c r="S162" s="2538"/>
      <c r="T162" s="2538"/>
      <c r="U162" s="2538"/>
      <c r="V162" s="2538"/>
      <c r="W162" s="1011"/>
      <c r="Y162" s="1951"/>
      <c r="Z162" s="1951"/>
      <c r="AA162" s="1951"/>
      <c r="AB162" s="1951"/>
      <c r="AC162" s="1951"/>
      <c r="AD162" s="1951"/>
      <c r="AE162" s="1951"/>
      <c r="AF162" s="1951"/>
      <c r="AG162" s="1951"/>
      <c r="AH162" s="1951"/>
      <c r="AI162" s="1951"/>
      <c r="AJ162" s="1951"/>
      <c r="AK162" s="1951"/>
    </row>
    <row s="63055" customFormat="1" customHeight="1" ht="17.25">
      <c r="A163" s="2532"/>
      <c r="C163" s="2537"/>
      <c r="D163" s="2522"/>
      <c r="E163" s="2539"/>
      <c r="F163" s="2476"/>
      <c r="G163" s="2540"/>
      <c r="H163" s="3195"/>
      <c r="I163" s="3195"/>
      <c r="J163" s="3225"/>
      <c r="K163" s="2804"/>
      <c r="L163" s="1009"/>
      <c r="M163" s="1010"/>
      <c r="N163" s="1010" t="s">
        <v>173</v>
      </c>
      <c r="O163" s="1010"/>
      <c r="P163" s="1010"/>
      <c r="Q163" s="1010"/>
      <c r="R163" s="1010"/>
      <c r="S163" s="2538"/>
      <c r="T163" s="2538"/>
      <c r="U163" s="2538"/>
      <c r="V163" s="2538"/>
      <c r="W163" s="1011"/>
      <c r="Y163" s="1951"/>
      <c r="Z163" s="1951"/>
      <c r="AA163" s="1951"/>
      <c r="AB163" s="1951"/>
      <c r="AC163" s="1951"/>
      <c r="AD163" s="1951"/>
      <c r="AE163" s="1951"/>
      <c r="AF163" s="1951"/>
      <c r="AG163" s="1951"/>
      <c r="AH163" s="1951"/>
      <c r="AI163" s="1951"/>
      <c r="AJ163" s="1951"/>
      <c r="AK163" s="1951"/>
    </row>
    <row customHeight="1" ht="17.25">
      <c r="G164" s="2531"/>
      <c r="H164" s="2531"/>
      <c r="I164" s="2531"/>
      <c r="M164" s="2527"/>
    </row>
    <row s="63055" customFormat="1" customHeight="1" ht="17.25">
      <c r="A165" s="2532"/>
      <c r="C165" s="2534"/>
      <c r="D165" s="2522"/>
      <c r="E165" s="2539"/>
      <c r="F165" s="2476"/>
      <c r="G165" s="2540"/>
      <c r="H165" s="2522"/>
      <c r="I165" s="2522"/>
      <c r="J165" s="2541"/>
      <c r="K165" s="2452"/>
      <c r="L165" s="2800"/>
      <c r="M165" s="2800" t="s">
        <v>118</v>
      </c>
      <c r="N165" s="3196" t="str">
        <f>IF(Z165="","",INDEX(TERRITORY_MR_LIST,MATCH(Z165,TERRITORY_LIST_ID,0)))</f>
        <v/>
      </c>
      <c r="O165" s="2877" t="s">
        <v>67</v>
      </c>
      <c r="P165" s="2800"/>
      <c r="Q165" s="2800" t="s">
        <v>118</v>
      </c>
      <c r="R165" s="3194" t="s">
        <v>28</v>
      </c>
      <c r="S165" s="2799" t="s">
        <v>67</v>
      </c>
      <c r="T165" s="2503"/>
      <c r="U165" s="2503" t="s">
        <v>118</v>
      </c>
      <c r="V165" s="2535" t="s">
        <v>28</v>
      </c>
      <c r="W165" s="2493"/>
      <c r="Y165" s="1959"/>
      <c r="Z165" s="1959"/>
      <c r="AA165" s="1959"/>
      <c r="AB165" s="1959"/>
      <c r="AC165" s="1959"/>
      <c r="AD165" s="1959"/>
      <c r="AE165" s="1959"/>
      <c r="AF165" s="1959"/>
      <c r="AG165" s="1959"/>
      <c r="AH165" s="1959"/>
      <c r="AI165" s="1959"/>
      <c r="AJ165" s="1959"/>
      <c r="AK165" s="1959"/>
      <c r="AL165" s="2536"/>
      <c r="AM165" s="2536"/>
      <c r="AN165" s="1959"/>
      <c r="AO165" s="1959"/>
      <c r="AP165" s="1959"/>
      <c r="AQ165" s="1959"/>
    </row>
    <row s="63055" customFormat="1" customHeight="1" ht="17.25">
      <c r="A166" s="2532"/>
      <c r="C166" s="2537"/>
      <c r="D166" s="2522"/>
      <c r="E166" s="2539"/>
      <c r="F166" s="2476"/>
      <c r="G166" s="2540"/>
      <c r="H166" s="2522"/>
      <c r="I166" s="2522"/>
      <c r="J166" s="2541"/>
      <c r="K166" s="2452"/>
      <c r="L166" s="2800"/>
      <c r="M166" s="2800"/>
      <c r="N166" s="3196"/>
      <c r="O166" s="2878"/>
      <c r="P166" s="2800"/>
      <c r="Q166" s="2800"/>
      <c r="R166" s="3194"/>
      <c r="S166" s="2799"/>
      <c r="T166" s="1009"/>
      <c r="U166" s="1010"/>
      <c r="V166" s="1010" t="s">
        <v>171</v>
      </c>
      <c r="W166" s="1011"/>
      <c r="Y166" s="1951"/>
      <c r="Z166" s="1951"/>
      <c r="AA166" s="1951"/>
      <c r="AB166" s="1951"/>
      <c r="AC166" s="1951"/>
      <c r="AD166" s="1951"/>
      <c r="AE166" s="1951"/>
      <c r="AF166" s="1951"/>
      <c r="AG166" s="1951"/>
      <c r="AH166" s="1951"/>
      <c r="AI166" s="1951"/>
      <c r="AJ166" s="1951"/>
      <c r="AK166" s="1951"/>
    </row>
    <row s="63055" customFormat="1" customHeight="1" ht="17.25">
      <c r="A167" s="2532"/>
      <c r="C167" s="2537"/>
      <c r="D167" s="2522"/>
      <c r="E167" s="2539"/>
      <c r="F167" s="2476"/>
      <c r="G167" s="2540"/>
      <c r="H167" s="2522"/>
      <c r="I167" s="2522"/>
      <c r="J167" s="2541"/>
      <c r="K167" s="2452"/>
      <c r="L167" s="3195"/>
      <c r="M167" s="3195"/>
      <c r="N167" s="3197"/>
      <c r="O167" s="2804"/>
      <c r="P167" s="1009"/>
      <c r="Q167" s="1010"/>
      <c r="R167" s="1010" t="s">
        <v>172</v>
      </c>
      <c r="S167" s="2538"/>
      <c r="T167" s="2538"/>
      <c r="U167" s="2538"/>
      <c r="V167" s="2538"/>
      <c r="W167" s="1011"/>
      <c r="Y167" s="1951"/>
      <c r="Z167" s="1951"/>
      <c r="AA167" s="1951"/>
      <c r="AB167" s="1951"/>
      <c r="AC167" s="1951"/>
      <c r="AD167" s="1951"/>
      <c r="AE167" s="1951"/>
      <c r="AF167" s="1951"/>
      <c r="AG167" s="1951"/>
      <c r="AH167" s="1951"/>
      <c r="AI167" s="1951"/>
      <c r="AJ167" s="1951"/>
      <c r="AK167" s="1951"/>
    </row>
    <row customHeight="1" ht="17.25">
      <c r="G168" s="2531"/>
      <c r="H168" s="2531"/>
      <c r="I168" s="2531"/>
      <c r="M168" s="2527"/>
    </row>
    <row s="63055" customFormat="1" customHeight="1" ht="17.25">
      <c r="A169" s="2532"/>
      <c r="C169" s="2534"/>
      <c r="D169" s="2522"/>
      <c r="E169" s="2539"/>
      <c r="F169" s="2476"/>
      <c r="G169" s="2540"/>
      <c r="H169" s="2522"/>
      <c r="I169" s="2522"/>
      <c r="J169" s="2541"/>
      <c r="K169" s="2452"/>
      <c r="L169" s="2448"/>
      <c r="M169" s="2448"/>
      <c r="N169" s="2740"/>
      <c r="O169" s="2479"/>
      <c r="P169" s="2800"/>
      <c r="Q169" s="2800" t="s">
        <v>118</v>
      </c>
      <c r="R169" s="3194" t="s">
        <v>28</v>
      </c>
      <c r="S169" s="2799" t="s">
        <v>67</v>
      </c>
      <c r="T169" s="2503"/>
      <c r="U169" s="2503" t="s">
        <v>118</v>
      </c>
      <c r="V169" s="2535" t="s">
        <v>28</v>
      </c>
      <c r="W169" s="2493"/>
      <c r="Y169" s="1959"/>
      <c r="Z169" s="1959"/>
      <c r="AA169" s="1959"/>
      <c r="AB169" s="1959"/>
      <c r="AC169" s="1959"/>
      <c r="AD169" s="1959"/>
      <c r="AE169" s="1959"/>
      <c r="AF169" s="1959"/>
      <c r="AG169" s="1959"/>
      <c r="AH169" s="1959"/>
      <c r="AI169" s="1959"/>
      <c r="AJ169" s="1959"/>
      <c r="AK169" s="1959"/>
      <c r="AL169" s="2536"/>
      <c r="AM169" s="2536"/>
      <c r="AN169" s="1959"/>
      <c r="AO169" s="1959"/>
      <c r="AP169" s="1959"/>
      <c r="AQ169" s="1959"/>
    </row>
    <row s="63055" customFormat="1" customHeight="1" ht="17.25">
      <c r="A170" s="2532"/>
      <c r="C170" s="2537"/>
      <c r="D170" s="2522"/>
      <c r="E170" s="2539"/>
      <c r="F170" s="2476"/>
      <c r="G170" s="2540"/>
      <c r="H170" s="2522"/>
      <c r="I170" s="2522"/>
      <c r="J170" s="2541"/>
      <c r="K170" s="2452"/>
      <c r="L170" s="2448"/>
      <c r="M170" s="2448"/>
      <c r="N170" s="2740"/>
      <c r="O170" s="2479"/>
      <c r="P170" s="2800"/>
      <c r="Q170" s="2800"/>
      <c r="R170" s="3194"/>
      <c r="S170" s="2799"/>
      <c r="T170" s="1009"/>
      <c r="U170" s="1010"/>
      <c r="V170" s="1010" t="s">
        <v>171</v>
      </c>
      <c r="W170" s="1011"/>
      <c r="Y170" s="1951"/>
      <c r="Z170" s="1951"/>
      <c r="AA170" s="1951"/>
      <c r="AB170" s="1951"/>
      <c r="AC170" s="1951"/>
      <c r="AD170" s="1951"/>
      <c r="AE170" s="1951"/>
      <c r="AF170" s="1951"/>
      <c r="AG170" s="1951"/>
      <c r="AH170" s="1951"/>
      <c r="AI170" s="1951"/>
      <c r="AJ170" s="1951"/>
      <c r="AK170" s="1951"/>
    </row>
    <row customHeight="1" ht="17.25">
      <c r="G171" s="2531"/>
      <c r="H171" s="2531"/>
      <c r="I171" s="2531"/>
      <c r="M171" s="2527"/>
    </row>
    <row s="63055" customFormat="1" customHeight="1" ht="17.25">
      <c r="A172" s="2532"/>
      <c r="C172" s="2534"/>
      <c r="D172" s="2522"/>
      <c r="E172" s="2539"/>
      <c r="F172" s="2476"/>
      <c r="G172" s="2540"/>
      <c r="H172" s="2448"/>
      <c r="I172" s="2448"/>
      <c r="J172" s="2449"/>
      <c r="K172" s="2540"/>
      <c r="L172" s="2448"/>
      <c r="M172" s="2448"/>
      <c r="N172" s="2540"/>
      <c r="O172" s="2540"/>
      <c r="P172" s="2448"/>
      <c r="Q172" s="2448"/>
      <c r="R172" s="2450"/>
      <c r="S172" s="2540"/>
      <c r="T172" s="2503"/>
      <c r="U172" s="2503" t="s">
        <v>118</v>
      </c>
      <c r="V172" s="2535" t="s">
        <v>28</v>
      </c>
      <c r="W172" s="2493"/>
      <c r="Y172" s="1959"/>
      <c r="Z172" s="1959"/>
      <c r="AA172" s="1959"/>
      <c r="AB172" s="1959"/>
      <c r="AC172" s="1959"/>
      <c r="AD172" s="1959"/>
      <c r="AE172" s="1959"/>
      <c r="AF172" s="1959"/>
      <c r="AG172" s="1959"/>
      <c r="AH172" s="1959"/>
      <c r="AI172" s="1959"/>
      <c r="AJ172" s="1959"/>
      <c r="AK172" s="1959"/>
      <c r="AL172" s="2536"/>
      <c r="AM172" s="2536"/>
      <c r="AN172" s="1959"/>
      <c r="AO172" s="1959"/>
      <c r="AP172" s="1959"/>
      <c r="AQ172" s="1959"/>
    </row>
    <row r="174" s="62813" customFormat="1" customHeight="1" ht="17.25">
      <c r="A174" s="2507" t="s">
        <v>2015</v>
      </c>
    </row>
    <row customHeight="1" ht="17.25">
      <c r="G175" s="2531"/>
      <c r="H175" s="2531"/>
      <c r="I175" s="2531"/>
      <c r="M175" s="2527"/>
    </row>
    <row s="63055" customFormat="1" customHeight="1" ht="17.25">
      <c r="A176" s="2532"/>
      <c r="C176" s="2534"/>
      <c r="D176" s="3221"/>
      <c r="E176" s="2835"/>
      <c r="F176" s="2837"/>
      <c r="G176" s="3223"/>
      <c r="H176" s="3221"/>
      <c r="I176" s="3221">
        <v>1</v>
      </c>
      <c r="J176" s="3193"/>
      <c r="K176" s="2877" t="s">
        <v>67</v>
      </c>
      <c r="L176" s="2800"/>
      <c r="M176" s="2800" t="s">
        <v>118</v>
      </c>
      <c r="N176" s="3196" t="str">
        <f>IF(Z176="","",INDEX(TERRITORY_MR_LIST,MATCH(Z176,TERRITORY_LIST_ID,0)))</f>
        <v/>
      </c>
      <c r="O176" s="2877" t="s">
        <v>67</v>
      </c>
      <c r="P176" s="2800"/>
      <c r="Q176" s="2800" t="s">
        <v>118</v>
      </c>
      <c r="R176" s="3194" t="s">
        <v>28</v>
      </c>
      <c r="S176" s="3098" t="s">
        <v>19</v>
      </c>
      <c r="T176" s="2494"/>
      <c r="U176" s="2494" t="s">
        <v>118</v>
      </c>
      <c r="V176" s="2126"/>
      <c r="W176" s="3193"/>
      <c r="Y176" s="1959"/>
      <c r="Z176" s="1959"/>
      <c r="AA176" s="1959"/>
      <c r="AB176" s="1959"/>
      <c r="AC176" s="1959"/>
      <c r="AD176" s="1959"/>
      <c r="AE176" s="1959"/>
      <c r="AF176" s="1959"/>
      <c r="AG176" s="1959"/>
      <c r="AH176" s="1959"/>
      <c r="AI176" s="1959"/>
      <c r="AJ176" s="1959"/>
      <c r="AK176" s="1959"/>
      <c r="AL176" s="2536"/>
      <c r="AM176" s="2536"/>
      <c r="AN176" s="1959"/>
      <c r="AO176" s="1959"/>
      <c r="AP176" s="1959"/>
      <c r="AQ176" s="1959"/>
    </row>
    <row s="63055" customFormat="1" customHeight="1" ht="17.25">
      <c r="A177" s="2532"/>
      <c r="C177" s="2537"/>
      <c r="D177" s="3221"/>
      <c r="E177" s="2835"/>
      <c r="F177" s="2838"/>
      <c r="G177" s="3223"/>
      <c r="H177" s="3221"/>
      <c r="I177" s="3221"/>
      <c r="J177" s="3193"/>
      <c r="K177" s="2878"/>
      <c r="L177" s="2800"/>
      <c r="M177" s="2800"/>
      <c r="N177" s="3196"/>
      <c r="O177" s="2878"/>
      <c r="P177" s="2800"/>
      <c r="Q177" s="2800"/>
      <c r="R177" s="3194"/>
      <c r="S177" s="3098"/>
      <c r="T177" s="2127"/>
      <c r="U177" s="2128"/>
      <c r="V177" s="2128"/>
      <c r="W177" s="3193"/>
      <c r="Y177" s="1951"/>
      <c r="Z177" s="1951"/>
      <c r="AA177" s="1951"/>
      <c r="AB177" s="1951"/>
      <c r="AC177" s="1951"/>
      <c r="AD177" s="1951"/>
      <c r="AE177" s="1951"/>
      <c r="AF177" s="1951"/>
      <c r="AG177" s="1951"/>
      <c r="AH177" s="1951"/>
      <c r="AI177" s="1951"/>
      <c r="AJ177" s="1951"/>
      <c r="AK177" s="1951"/>
    </row>
    <row s="63055" customFormat="1" customHeight="1" ht="17.25">
      <c r="A178" s="2532"/>
      <c r="C178" s="2537"/>
      <c r="D178" s="3195"/>
      <c r="E178" s="3222"/>
      <c r="F178" s="2838"/>
      <c r="G178" s="3224"/>
      <c r="H178" s="3195"/>
      <c r="I178" s="3195"/>
      <c r="J178" s="3225"/>
      <c r="K178" s="2878"/>
      <c r="L178" s="3195"/>
      <c r="M178" s="3195"/>
      <c r="N178" s="3197"/>
      <c r="O178" s="2804"/>
      <c r="P178" s="1009"/>
      <c r="Q178" s="1010"/>
      <c r="R178" s="1010" t="s">
        <v>172</v>
      </c>
      <c r="S178" s="2538"/>
      <c r="T178" s="2538"/>
      <c r="U178" s="2538"/>
      <c r="V178" s="2538"/>
      <c r="W178" s="2125"/>
      <c r="Y178" s="1951"/>
      <c r="Z178" s="1951"/>
      <c r="AA178" s="1951"/>
      <c r="AB178" s="1951"/>
      <c r="AC178" s="1951"/>
      <c r="AD178" s="1951"/>
      <c r="AE178" s="1951"/>
      <c r="AF178" s="1951"/>
      <c r="AG178" s="1951"/>
      <c r="AH178" s="1951"/>
      <c r="AI178" s="1951"/>
      <c r="AJ178" s="1951"/>
      <c r="AK178" s="1951"/>
    </row>
    <row s="63055" customFormat="1" customHeight="1" ht="17.25">
      <c r="A179" s="2532"/>
      <c r="C179" s="2537"/>
      <c r="D179" s="3195"/>
      <c r="E179" s="3222"/>
      <c r="F179" s="2838"/>
      <c r="G179" s="3224"/>
      <c r="H179" s="3195"/>
      <c r="I179" s="3195"/>
      <c r="J179" s="3225"/>
      <c r="K179" s="2804"/>
      <c r="L179" s="1009"/>
      <c r="M179" s="1010"/>
      <c r="N179" s="1010" t="s">
        <v>173</v>
      </c>
      <c r="O179" s="1010"/>
      <c r="P179" s="1010"/>
      <c r="Q179" s="1010"/>
      <c r="R179" s="1010"/>
      <c r="S179" s="2538"/>
      <c r="T179" s="2538"/>
      <c r="U179" s="2538"/>
      <c r="V179" s="2538"/>
      <c r="W179" s="1011"/>
      <c r="Y179" s="1951"/>
      <c r="Z179" s="1951"/>
      <c r="AA179" s="1951"/>
      <c r="AB179" s="1951"/>
      <c r="AC179" s="1951"/>
      <c r="AD179" s="1951"/>
      <c r="AE179" s="1951"/>
      <c r="AF179" s="1951"/>
      <c r="AG179" s="1951"/>
      <c r="AH179" s="1951"/>
      <c r="AI179" s="1951"/>
      <c r="AJ179" s="1951"/>
      <c r="AK179" s="1951"/>
    </row>
    <row s="63055" customFormat="1" customHeight="1" ht="17.25">
      <c r="A180" s="2532"/>
      <c r="C180" s="2537"/>
      <c r="D180" s="3195"/>
      <c r="E180" s="3222"/>
      <c r="F180" s="2839"/>
      <c r="G180" s="3224"/>
      <c r="H180" s="1009"/>
      <c r="I180" s="1010"/>
      <c r="J180" s="1010" t="s">
        <v>186</v>
      </c>
      <c r="K180" s="1010"/>
      <c r="L180" s="1010"/>
      <c r="M180" s="1010"/>
      <c r="N180" s="1010"/>
      <c r="O180" s="1010"/>
      <c r="P180" s="1010"/>
      <c r="Q180" s="1010"/>
      <c r="R180" s="1010"/>
      <c r="S180" s="2538"/>
      <c r="T180" s="2538"/>
      <c r="U180" s="2538"/>
      <c r="V180" s="2538"/>
      <c r="W180" s="1011"/>
      <c r="Y180" s="1951"/>
      <c r="Z180" s="1951"/>
      <c r="AA180" s="1951"/>
      <c r="AB180" s="1951"/>
      <c r="AC180" s="1951"/>
      <c r="AD180" s="1951"/>
      <c r="AE180" s="1951"/>
      <c r="AF180" s="1951"/>
      <c r="AG180" s="1951"/>
      <c r="AH180" s="1951"/>
      <c r="AI180" s="1951"/>
      <c r="AJ180" s="1951"/>
      <c r="AK180" s="1951"/>
    </row>
    <row customHeight="1" ht="17.25">
      <c r="A181" s="2542"/>
    </row>
    <row s="63055" customFormat="1" customHeight="1" ht="17.25">
      <c r="A182" s="2532"/>
      <c r="C182" s="2534"/>
      <c r="D182" s="2522"/>
      <c r="E182" s="2539"/>
      <c r="F182" s="2476"/>
      <c r="G182" s="2540"/>
      <c r="H182" s="3221"/>
      <c r="I182" s="3221">
        <v>1</v>
      </c>
      <c r="J182" s="3193"/>
      <c r="K182" s="2877" t="s">
        <v>67</v>
      </c>
      <c r="L182" s="2800"/>
      <c r="M182" s="2800" t="s">
        <v>118</v>
      </c>
      <c r="N182" s="3196" t="str">
        <f>IF(Z182="","",INDEX(TERRITORY_MR_LIST,MATCH(Z182,TERRITORY_LIST_ID,0)))</f>
        <v/>
      </c>
      <c r="O182" s="2877" t="s">
        <v>67</v>
      </c>
      <c r="P182" s="2800"/>
      <c r="Q182" s="2800" t="s">
        <v>118</v>
      </c>
      <c r="R182" s="3194" t="s">
        <v>28</v>
      </c>
      <c r="S182" s="3098" t="s">
        <v>19</v>
      </c>
      <c r="T182" s="2494"/>
      <c r="U182" s="2494" t="s">
        <v>118</v>
      </c>
      <c r="V182" s="2126"/>
      <c r="W182" s="3193"/>
      <c r="Y182" s="1959"/>
      <c r="Z182" s="1959"/>
      <c r="AA182" s="1959"/>
      <c r="AB182" s="1959"/>
      <c r="AC182" s="1959"/>
      <c r="AD182" s="1959"/>
      <c r="AE182" s="1959"/>
      <c r="AF182" s="1959"/>
      <c r="AG182" s="1959"/>
      <c r="AH182" s="1959"/>
      <c r="AI182" s="1959"/>
      <c r="AJ182" s="1959"/>
      <c r="AK182" s="1959"/>
      <c r="AL182" s="2536"/>
      <c r="AM182" s="2536"/>
      <c r="AN182" s="1959"/>
      <c r="AO182" s="1959"/>
      <c r="AP182" s="1959"/>
      <c r="AQ182" s="1959"/>
    </row>
    <row s="63055" customFormat="1" customHeight="1" ht="17.25">
      <c r="A183" s="2532"/>
      <c r="C183" s="2537"/>
      <c r="D183" s="2522"/>
      <c r="E183" s="2539"/>
      <c r="F183" s="2476"/>
      <c r="G183" s="2540"/>
      <c r="H183" s="3221"/>
      <c r="I183" s="3221"/>
      <c r="J183" s="3193"/>
      <c r="K183" s="2878"/>
      <c r="L183" s="2800"/>
      <c r="M183" s="2800"/>
      <c r="N183" s="3196"/>
      <c r="O183" s="2878"/>
      <c r="P183" s="2800"/>
      <c r="Q183" s="2800"/>
      <c r="R183" s="3194"/>
      <c r="S183" s="3098"/>
      <c r="T183" s="2127"/>
      <c r="U183" s="2128"/>
      <c r="V183" s="2128"/>
      <c r="W183" s="3193"/>
      <c r="Y183" s="1951"/>
      <c r="Z183" s="1951"/>
      <c r="AA183" s="1951"/>
      <c r="AB183" s="1951"/>
      <c r="AC183" s="1951"/>
      <c r="AD183" s="1951"/>
      <c r="AE183" s="1951"/>
      <c r="AF183" s="1951"/>
      <c r="AG183" s="1951"/>
      <c r="AH183" s="1951"/>
      <c r="AI183" s="1951"/>
      <c r="AJ183" s="1951"/>
      <c r="AK183" s="1951"/>
    </row>
    <row s="63055" customFormat="1" customHeight="1" ht="17.25">
      <c r="A184" s="2532"/>
      <c r="C184" s="2537"/>
      <c r="D184" s="2522"/>
      <c r="E184" s="2539"/>
      <c r="F184" s="2476"/>
      <c r="G184" s="2540"/>
      <c r="H184" s="3195"/>
      <c r="I184" s="3195"/>
      <c r="J184" s="3225"/>
      <c r="K184" s="2878"/>
      <c r="L184" s="3195"/>
      <c r="M184" s="3195"/>
      <c r="N184" s="3197"/>
      <c r="O184" s="2804"/>
      <c r="P184" s="1009"/>
      <c r="Q184" s="1010"/>
      <c r="R184" s="1010" t="s">
        <v>172</v>
      </c>
      <c r="S184" s="2538"/>
      <c r="T184" s="2538"/>
      <c r="U184" s="2538"/>
      <c r="V184" s="2538"/>
      <c r="W184" s="2125"/>
      <c r="Y184" s="1951"/>
      <c r="Z184" s="1951"/>
      <c r="AA184" s="1951"/>
      <c r="AB184" s="1951"/>
      <c r="AC184" s="1951"/>
      <c r="AD184" s="1951"/>
      <c r="AE184" s="1951"/>
      <c r="AF184" s="1951"/>
      <c r="AG184" s="1951"/>
      <c r="AH184" s="1951"/>
      <c r="AI184" s="1951"/>
      <c r="AJ184" s="1951"/>
      <c r="AK184" s="1951"/>
    </row>
    <row s="63055" customFormat="1" customHeight="1" ht="17.25">
      <c r="A185" s="2532"/>
      <c r="C185" s="2537"/>
      <c r="D185" s="2522"/>
      <c r="E185" s="2539"/>
      <c r="F185" s="2476"/>
      <c r="G185" s="2540"/>
      <c r="H185" s="3195"/>
      <c r="I185" s="3195"/>
      <c r="J185" s="3225"/>
      <c r="K185" s="2804"/>
      <c r="L185" s="1009"/>
      <c r="M185" s="1010"/>
      <c r="N185" s="1010" t="s">
        <v>173</v>
      </c>
      <c r="O185" s="1010"/>
      <c r="P185" s="1010"/>
      <c r="Q185" s="1010"/>
      <c r="R185" s="1010"/>
      <c r="S185" s="2538"/>
      <c r="T185" s="2538"/>
      <c r="U185" s="2538"/>
      <c r="V185" s="2538"/>
      <c r="W185" s="1011"/>
      <c r="Y185" s="1951"/>
      <c r="Z185" s="1951"/>
      <c r="AA185" s="1951"/>
      <c r="AB185" s="1951"/>
      <c r="AC185" s="1951"/>
      <c r="AD185" s="1951"/>
      <c r="AE185" s="1951"/>
      <c r="AF185" s="1951"/>
      <c r="AG185" s="1951"/>
      <c r="AH185" s="1951"/>
      <c r="AI185" s="1951"/>
      <c r="AJ185" s="1951"/>
      <c r="AK185" s="1951"/>
    </row>
    <row customHeight="1" ht="17.25">
      <c r="A186" s="2542"/>
    </row>
    <row s="63055" customFormat="1" customHeight="1" ht="17.25">
      <c r="A187" s="2532"/>
      <c r="C187" s="2534"/>
      <c r="D187" s="2522"/>
      <c r="E187" s="2539"/>
      <c r="F187" s="2476"/>
      <c r="G187" s="2540"/>
      <c r="H187" s="2522"/>
      <c r="I187" s="2522"/>
      <c r="J187" s="2543"/>
      <c r="K187" s="2540"/>
      <c r="L187" s="2800"/>
      <c r="M187" s="2800" t="s">
        <v>118</v>
      </c>
      <c r="N187" s="3196" t="str">
        <f>IF(Z187="","",INDEX(TERRITORY_MR_LIST,MATCH(Z187,TERRITORY_LIST_ID,0)))</f>
        <v/>
      </c>
      <c r="O187" s="2877" t="s">
        <v>67</v>
      </c>
      <c r="P187" s="2800"/>
      <c r="Q187" s="2800" t="s">
        <v>118</v>
      </c>
      <c r="R187" s="3194" t="s">
        <v>28</v>
      </c>
      <c r="S187" s="3098" t="s">
        <v>19</v>
      </c>
      <c r="T187" s="2494"/>
      <c r="U187" s="2494" t="s">
        <v>118</v>
      </c>
      <c r="V187" s="2126"/>
      <c r="W187" s="3193"/>
      <c r="Y187" s="1959"/>
      <c r="Z187" s="1959"/>
      <c r="AA187" s="1959"/>
      <c r="AB187" s="1959"/>
      <c r="AC187" s="1959"/>
      <c r="AD187" s="1959"/>
      <c r="AE187" s="1959"/>
      <c r="AF187" s="1959"/>
      <c r="AG187" s="1959"/>
      <c r="AH187" s="1959"/>
      <c r="AI187" s="1959"/>
      <c r="AJ187" s="1959"/>
      <c r="AK187" s="1959"/>
      <c r="AL187" s="2536"/>
      <c r="AM187" s="2536"/>
      <c r="AN187" s="1959"/>
      <c r="AO187" s="1959"/>
      <c r="AP187" s="1959"/>
      <c r="AQ187" s="1959"/>
    </row>
    <row s="63055" customFormat="1" customHeight="1" ht="17.25">
      <c r="A188" s="2532"/>
      <c r="C188" s="2537"/>
      <c r="D188" s="2522"/>
      <c r="E188" s="2539"/>
      <c r="F188" s="2476"/>
      <c r="G188" s="2540"/>
      <c r="H188" s="2522"/>
      <c r="I188" s="2522"/>
      <c r="J188" s="2543"/>
      <c r="K188" s="2540"/>
      <c r="L188" s="2800"/>
      <c r="M188" s="2800"/>
      <c r="N188" s="3196"/>
      <c r="O188" s="2878"/>
      <c r="P188" s="2800"/>
      <c r="Q188" s="2800"/>
      <c r="R188" s="3194"/>
      <c r="S188" s="3098"/>
      <c r="T188" s="2127"/>
      <c r="U188" s="2128"/>
      <c r="V188" s="2128"/>
      <c r="W188" s="3193"/>
      <c r="Y188" s="1951"/>
      <c r="Z188" s="1951"/>
      <c r="AA188" s="1951"/>
      <c r="AB188" s="1951"/>
      <c r="AC188" s="1951"/>
      <c r="AD188" s="1951"/>
      <c r="AE188" s="1951"/>
      <c r="AF188" s="1951"/>
      <c r="AG188" s="1951"/>
      <c r="AH188" s="1951"/>
      <c r="AI188" s="1951"/>
      <c r="AJ188" s="1951"/>
      <c r="AK188" s="1951"/>
    </row>
    <row s="63055" customFormat="1" customHeight="1" ht="17.25">
      <c r="A189" s="2532"/>
      <c r="C189" s="2537"/>
      <c r="D189" s="2522"/>
      <c r="E189" s="2539"/>
      <c r="F189" s="2476"/>
      <c r="G189" s="2540"/>
      <c r="H189" s="2522"/>
      <c r="I189" s="2522"/>
      <c r="J189" s="2543"/>
      <c r="K189" s="2540"/>
      <c r="L189" s="3195"/>
      <c r="M189" s="3195"/>
      <c r="N189" s="3197"/>
      <c r="O189" s="2804"/>
      <c r="P189" s="1009"/>
      <c r="Q189" s="1010"/>
      <c r="R189" s="1010" t="s">
        <v>172</v>
      </c>
      <c r="S189" s="2538"/>
      <c r="T189" s="2538"/>
      <c r="U189" s="2538"/>
      <c r="V189" s="2538"/>
      <c r="W189" s="2125"/>
      <c r="Y189" s="1951"/>
      <c r="Z189" s="1951"/>
      <c r="AA189" s="1951"/>
      <c r="AB189" s="1951"/>
      <c r="AC189" s="1951"/>
      <c r="AD189" s="1951"/>
      <c r="AE189" s="1951"/>
      <c r="AF189" s="1951"/>
      <c r="AG189" s="1951"/>
      <c r="AH189" s="1951"/>
      <c r="AI189" s="1951"/>
      <c r="AJ189" s="1951"/>
      <c r="AK189" s="1951"/>
    </row>
    <row customHeight="1" ht="17.25">
      <c r="A190" s="2542"/>
    </row>
    <row s="63055" customFormat="1" customHeight="1" ht="17.25">
      <c r="A191" s="2532"/>
      <c r="C191" s="2534"/>
      <c r="D191" s="2522"/>
      <c r="E191" s="2539"/>
      <c r="F191" s="2476"/>
      <c r="G191" s="2540"/>
      <c r="H191" s="2522"/>
      <c r="I191" s="2522"/>
      <c r="J191" s="2543"/>
      <c r="K191" s="2540"/>
      <c r="L191" s="2522"/>
      <c r="M191" s="2522"/>
      <c r="N191" s="2740"/>
      <c r="O191" s="2479"/>
      <c r="P191" s="2800"/>
      <c r="Q191" s="2800" t="s">
        <v>118</v>
      </c>
      <c r="R191" s="3194" t="s">
        <v>28</v>
      </c>
      <c r="S191" s="3098" t="s">
        <v>19</v>
      </c>
      <c r="T191" s="2494"/>
      <c r="U191" s="2494" t="s">
        <v>118</v>
      </c>
      <c r="V191" s="2126"/>
      <c r="W191" s="3193"/>
      <c r="Y191" s="1959"/>
      <c r="Z191" s="1959"/>
      <c r="AA191" s="1959"/>
      <c r="AB191" s="1959"/>
      <c r="AC191" s="1959"/>
      <c r="AD191" s="1959"/>
      <c r="AE191" s="1959"/>
      <c r="AF191" s="1959"/>
      <c r="AG191" s="1959"/>
      <c r="AH191" s="1959"/>
      <c r="AI191" s="1959"/>
      <c r="AJ191" s="1959"/>
      <c r="AK191" s="1959"/>
      <c r="AL191" s="2536"/>
      <c r="AM191" s="2536"/>
      <c r="AN191" s="1959"/>
      <c r="AO191" s="1959"/>
      <c r="AP191" s="1959"/>
      <c r="AQ191" s="1959"/>
    </row>
    <row s="63055" customFormat="1" customHeight="1" ht="17.25">
      <c r="A192" s="2532"/>
      <c r="C192" s="2537"/>
      <c r="D192" s="2522"/>
      <c r="E192" s="2539"/>
      <c r="F192" s="2476"/>
      <c r="G192" s="2540"/>
      <c r="H192" s="2522"/>
      <c r="I192" s="2522"/>
      <c r="J192" s="2543"/>
      <c r="K192" s="2540"/>
      <c r="L192" s="2522"/>
      <c r="M192" s="2522"/>
      <c r="N192" s="2740"/>
      <c r="O192" s="2479"/>
      <c r="P192" s="2800"/>
      <c r="Q192" s="2800"/>
      <c r="R192" s="3194"/>
      <c r="S192" s="3098"/>
      <c r="T192" s="2127"/>
      <c r="U192" s="2128"/>
      <c r="V192" s="2128"/>
      <c r="W192" s="3193"/>
      <c r="Y192" s="1951"/>
      <c r="Z192" s="1951"/>
      <c r="AA192" s="1951"/>
      <c r="AB192" s="1951"/>
      <c r="AC192" s="1951"/>
      <c r="AD192" s="1951"/>
      <c r="AE192" s="1951"/>
      <c r="AF192" s="1951"/>
      <c r="AG192" s="1951"/>
      <c r="AH192" s="1951"/>
      <c r="AI192" s="1951"/>
      <c r="AJ192" s="1951"/>
      <c r="AK192" s="1951"/>
    </row>
    <row customHeight="1" ht="17.25">
      <c r="A193" s="2542"/>
    </row>
    <row customHeight="1" ht="16.5">
      <c r="A194" s="2532"/>
      <c r="B194" s="2533"/>
      <c r="C194" s="2537"/>
      <c r="D194" s="3245"/>
      <c r="E194" s="2871"/>
      <c r="F194" s="2871"/>
      <c r="G194" s="2819"/>
      <c r="H194" s="3246"/>
      <c r="I194" s="3259"/>
      <c r="J194" s="2844"/>
      <c r="K194" s="2829"/>
      <c r="L194" s="2829"/>
      <c r="M194" s="2829"/>
      <c r="N194" s="3257"/>
      <c r="O194" s="2829"/>
      <c r="P194" s="2829"/>
      <c r="Q194" s="2829"/>
      <c r="R194" s="3255"/>
      <c r="S194" s="2829"/>
      <c r="T194" s="2475"/>
      <c r="U194" s="2475"/>
      <c r="V194" s="2544"/>
      <c r="W194" s="1988"/>
    </row>
    <row customHeight="1" ht="16.5">
      <c r="A195" s="2532"/>
      <c r="B195" s="2533"/>
      <c r="C195" s="2537"/>
      <c r="D195" s="3245"/>
      <c r="E195" s="2871"/>
      <c r="F195" s="2871"/>
      <c r="G195" s="2819"/>
      <c r="H195" s="3247"/>
      <c r="I195" s="3260"/>
      <c r="J195" s="2845"/>
      <c r="K195" s="2830"/>
      <c r="L195" s="2830"/>
      <c r="M195" s="2830"/>
      <c r="N195" s="3258"/>
      <c r="O195" s="2830"/>
      <c r="P195" s="2830"/>
      <c r="Q195" s="2830"/>
      <c r="R195" s="3256"/>
      <c r="S195" s="2830"/>
      <c r="T195" s="1989"/>
      <c r="U195" s="1989"/>
      <c r="V195" s="1989"/>
      <c r="W195" s="1990"/>
    </row>
    <row customHeight="1" ht="17.25">
      <c r="A196" s="2532"/>
      <c r="B196" s="2533"/>
      <c r="C196" s="2537"/>
      <c r="D196" s="3245"/>
      <c r="E196" s="2871"/>
      <c r="F196" s="2871"/>
      <c r="G196" s="2819"/>
      <c r="H196" s="3247"/>
      <c r="I196" s="3260"/>
      <c r="J196" s="3248"/>
      <c r="K196" s="2830"/>
      <c r="L196" s="2830"/>
      <c r="M196" s="2830"/>
      <c r="N196" s="3256"/>
      <c r="O196" s="2830"/>
      <c r="P196" s="2478"/>
      <c r="Q196" s="1989"/>
      <c r="R196" s="1989"/>
      <c r="S196" s="2545"/>
      <c r="T196" s="2545"/>
      <c r="U196" s="2545"/>
      <c r="V196" s="2545"/>
      <c r="W196" s="1990"/>
    </row>
    <row customHeight="1" ht="17.25">
      <c r="A197" s="2532"/>
      <c r="B197" s="2533"/>
      <c r="C197" s="2537"/>
      <c r="D197" s="3245"/>
      <c r="E197" s="2871"/>
      <c r="F197" s="2871"/>
      <c r="G197" s="2819"/>
      <c r="H197" s="3247"/>
      <c r="I197" s="3260"/>
      <c r="J197" s="3248"/>
      <c r="K197" s="2830"/>
      <c r="L197" s="1989"/>
      <c r="M197" s="1989"/>
      <c r="N197" s="1989"/>
      <c r="O197" s="1989"/>
      <c r="P197" s="1989"/>
      <c r="Q197" s="1989"/>
      <c r="R197" s="1989"/>
      <c r="S197" s="2545"/>
      <c r="T197" s="2545"/>
      <c r="U197" s="2545"/>
      <c r="V197" s="2545"/>
      <c r="W197" s="1990"/>
    </row>
    <row customHeight="1" ht="17.25">
      <c r="A198" s="2532"/>
      <c r="B198" s="2533"/>
      <c r="C198" s="2537"/>
      <c r="D198" s="3245"/>
      <c r="E198" s="2871"/>
      <c r="F198" s="2871"/>
      <c r="G198" s="2819"/>
      <c r="H198" s="1991"/>
      <c r="I198" s="1992"/>
      <c r="J198" s="1992"/>
      <c r="K198" s="1992"/>
      <c r="L198" s="1992"/>
      <c r="M198" s="1992"/>
      <c r="N198" s="1992"/>
      <c r="O198" s="1992"/>
      <c r="P198" s="1992"/>
      <c r="Q198" s="1992"/>
      <c r="R198" s="1992"/>
      <c r="S198" s="2546"/>
      <c r="T198" s="2546"/>
      <c r="U198" s="2546"/>
      <c r="V198" s="2546"/>
      <c r="W198" s="1994"/>
    </row>
    <row r="200" s="62813" customFormat="1" customHeight="1" ht="17.25">
      <c r="A200" s="2507" t="s">
        <v>2016</v>
      </c>
    </row>
    <row customHeight="1" ht="17.25">
      <c r="G201" s="2531"/>
      <c r="H201" s="2531"/>
      <c r="I201" s="2531"/>
      <c r="M201" s="2527"/>
    </row>
    <row s="63225" customFormat="1" customHeight="1" ht="15">
      <c r="D202" s="3215"/>
      <c r="E202" s="2891"/>
      <c r="F202" s="2891"/>
      <c r="G202" s="2877"/>
      <c r="H202" s="2256"/>
      <c r="I202" s="3219">
        <v>1</v>
      </c>
      <c r="J202" s="3193"/>
      <c r="K202" s="2271"/>
      <c r="L202" s="2877" t="s">
        <v>67</v>
      </c>
      <c r="M202" s="2877" t="s">
        <v>67</v>
      </c>
      <c r="N202" s="2256"/>
      <c r="O202" s="2800" t="s">
        <v>118</v>
      </c>
      <c r="P202" s="3209"/>
      <c r="Q202" s="2272"/>
      <c r="R202" s="2877" t="s">
        <v>67</v>
      </c>
      <c r="S202" s="2877" t="s">
        <v>67</v>
      </c>
      <c r="T202" s="2547"/>
      <c r="U202" s="2800" t="s">
        <v>118</v>
      </c>
      <c r="V202" s="3216" t="str">
        <f>IF(AK202="","",INDEX(TERRITORY_MR_LIST,MATCH(AK202,TERRITORY_LIST_ID,0)))</f>
        <v/>
      </c>
      <c r="W202" s="2273"/>
      <c r="X202" s="2877" t="s">
        <v>67</v>
      </c>
      <c r="Y202" s="2877" t="s">
        <v>19</v>
      </c>
      <c r="Z202" s="2256"/>
      <c r="AA202" s="2800" t="s">
        <v>118</v>
      </c>
      <c r="AB202" s="3218"/>
      <c r="AC202" s="2274"/>
      <c r="AD202" s="2877" t="s">
        <v>67</v>
      </c>
      <c r="AE202" s="2877" t="s">
        <v>19</v>
      </c>
      <c r="AF202" s="2254"/>
      <c r="AG202" s="2503" t="s">
        <v>118</v>
      </c>
      <c r="AH202" s="2264"/>
      <c r="AI202" s="2493"/>
    </row>
    <row s="63225" customFormat="1" customHeight="1" ht="15">
      <c r="D203" s="3215"/>
      <c r="E203" s="2891"/>
      <c r="F203" s="2891"/>
      <c r="G203" s="2878"/>
      <c r="H203" s="2256"/>
      <c r="I203" s="3219"/>
      <c r="J203" s="3193"/>
      <c r="K203" s="2255"/>
      <c r="L203" s="2878"/>
      <c r="M203" s="2878"/>
      <c r="N203" s="2256"/>
      <c r="O203" s="2800"/>
      <c r="P203" s="3209"/>
      <c r="Q203" s="2252"/>
      <c r="R203" s="2878"/>
      <c r="S203" s="2878"/>
      <c r="T203" s="2547"/>
      <c r="U203" s="2800"/>
      <c r="V203" s="3217"/>
      <c r="W203" s="2253"/>
      <c r="X203" s="2878"/>
      <c r="Y203" s="2878"/>
      <c r="Z203" s="2256"/>
      <c r="AA203" s="2800"/>
      <c r="AB203" s="3187"/>
      <c r="AC203" s="2257"/>
      <c r="AD203" s="2804"/>
      <c r="AE203" s="2804"/>
      <c r="AF203" s="2258"/>
      <c r="AG203" s="2259"/>
      <c r="AH203" s="3210" t="s">
        <v>2017</v>
      </c>
      <c r="AI203" s="3211"/>
    </row>
    <row s="63225" customFormat="1" customHeight="1" ht="15">
      <c r="D204" s="3215"/>
      <c r="E204" s="2891"/>
      <c r="F204" s="2891"/>
      <c r="G204" s="2878"/>
      <c r="H204" s="2256"/>
      <c r="I204" s="3219"/>
      <c r="J204" s="3193"/>
      <c r="K204" s="2255"/>
      <c r="L204" s="2878"/>
      <c r="M204" s="2878"/>
      <c r="N204" s="2256"/>
      <c r="O204" s="2800"/>
      <c r="P204" s="3209"/>
      <c r="Q204" s="2252"/>
      <c r="R204" s="2878"/>
      <c r="S204" s="2878"/>
      <c r="T204" s="2547"/>
      <c r="U204" s="2800"/>
      <c r="V204" s="3217"/>
      <c r="W204" s="2253"/>
      <c r="X204" s="2878"/>
      <c r="Y204" s="2878"/>
      <c r="Z204" s="2295"/>
      <c r="AA204" s="2261"/>
      <c r="AB204" s="3212" t="s">
        <v>2018</v>
      </c>
      <c r="AC204" s="3212"/>
      <c r="AD204" s="3212"/>
      <c r="AE204" s="3212"/>
      <c r="AF204" s="3212"/>
      <c r="AG204" s="3212"/>
      <c r="AH204" s="3212"/>
      <c r="AI204" s="3213"/>
    </row>
    <row s="63225" customFormat="1" customHeight="1" ht="15">
      <c r="D205" s="3215"/>
      <c r="E205" s="2891"/>
      <c r="F205" s="2891"/>
      <c r="G205" s="2878"/>
      <c r="H205" s="2256"/>
      <c r="I205" s="3219"/>
      <c r="J205" s="3193"/>
      <c r="K205" s="2255"/>
      <c r="L205" s="2878"/>
      <c r="M205" s="2878"/>
      <c r="N205" s="2256"/>
      <c r="O205" s="2800"/>
      <c r="P205" s="3214"/>
      <c r="Q205" s="2252"/>
      <c r="R205" s="2878"/>
      <c r="S205" s="2878"/>
      <c r="T205" s="2548"/>
      <c r="U205" s="2296"/>
      <c r="V205" s="3210" t="s">
        <v>112</v>
      </c>
      <c r="W205" s="3210"/>
      <c r="X205" s="3210"/>
      <c r="Y205" s="3210"/>
      <c r="Z205" s="3210"/>
      <c r="AA205" s="3210"/>
      <c r="AB205" s="3210"/>
      <c r="AC205" s="3210"/>
      <c r="AD205" s="3210"/>
      <c r="AE205" s="3210"/>
      <c r="AF205" s="3210"/>
      <c r="AG205" s="3210"/>
      <c r="AH205" s="3210"/>
      <c r="AI205" s="3211"/>
    </row>
    <row s="63225" customFormat="1" customHeight="1" ht="11.25">
      <c r="D206" s="3215"/>
      <c r="E206" s="2891"/>
      <c r="F206" s="2891"/>
      <c r="G206" s="2878"/>
      <c r="H206" s="2260"/>
      <c r="I206" s="3219"/>
      <c r="J206" s="3220"/>
      <c r="K206" s="2255"/>
      <c r="L206" s="2878"/>
      <c r="M206" s="2878"/>
      <c r="N206" s="2260"/>
      <c r="O206" s="2261"/>
      <c r="P206" s="3210" t="s">
        <v>2019</v>
      </c>
      <c r="Q206" s="3210"/>
      <c r="R206" s="3210"/>
      <c r="S206" s="3210"/>
      <c r="T206" s="3210"/>
      <c r="U206" s="3210"/>
      <c r="V206" s="3210"/>
      <c r="W206" s="3210"/>
      <c r="X206" s="3210"/>
      <c r="Y206" s="3210"/>
      <c r="Z206" s="3210"/>
      <c r="AA206" s="3210"/>
      <c r="AB206" s="3210"/>
      <c r="AC206" s="3210"/>
      <c r="AD206" s="3210"/>
      <c r="AE206" s="3210"/>
      <c r="AF206" s="3210"/>
      <c r="AG206" s="3210"/>
      <c r="AH206" s="3210"/>
      <c r="AI206" s="3211"/>
    </row>
    <row s="58049" customFormat="1" customHeight="1" ht="11.25">
      <c r="D207" s="3215"/>
      <c r="E207" s="2891"/>
      <c r="F207" s="2891"/>
      <c r="G207" s="2804"/>
      <c r="H207" s="2262"/>
      <c r="I207" s="2263"/>
      <c r="J207" s="3210" t="s">
        <v>186</v>
      </c>
      <c r="K207" s="3210"/>
      <c r="L207" s="3210"/>
      <c r="M207" s="3210"/>
      <c r="N207" s="3210"/>
      <c r="O207" s="3210"/>
      <c r="P207" s="3210"/>
      <c r="Q207" s="3210"/>
      <c r="R207" s="3210"/>
      <c r="S207" s="3210"/>
      <c r="T207" s="3210"/>
      <c r="U207" s="3210"/>
      <c r="V207" s="3210"/>
      <c r="W207" s="3210"/>
      <c r="X207" s="3210"/>
      <c r="Y207" s="3210"/>
      <c r="Z207" s="3210"/>
      <c r="AA207" s="3210"/>
      <c r="AB207" s="3210"/>
      <c r="AC207" s="3210"/>
      <c r="AD207" s="3210"/>
      <c r="AE207" s="3210"/>
      <c r="AF207" s="3210"/>
      <c r="AG207" s="3210"/>
      <c r="AH207" s="3210"/>
      <c r="AI207" s="3211"/>
      <c r="BK207" s="2266"/>
    </row>
    <row customHeight="1" ht="17.25">
      <c r="G208" s="2531"/>
      <c r="I208" s="2531"/>
      <c r="J208" s="2531"/>
      <c r="N208" s="2527"/>
    </row>
    <row s="63225" customFormat="1" customHeight="1" ht="15">
      <c r="D209" s="3215"/>
      <c r="E209" s="2891"/>
      <c r="F209" s="2891"/>
      <c r="G209" s="2871"/>
      <c r="H209" s="2291"/>
      <c r="I209" s="2873"/>
      <c r="J209" s="2844"/>
      <c r="K209" s="2477"/>
      <c r="L209" s="2829"/>
      <c r="M209" s="2829"/>
      <c r="N209" s="2276"/>
      <c r="O209" s="2829"/>
      <c r="P209" s="2844"/>
      <c r="Q209" s="2481"/>
      <c r="R209" s="2829"/>
      <c r="S209" s="2829"/>
      <c r="T209" s="2549"/>
      <c r="U209" s="2829"/>
      <c r="V209" s="2844"/>
      <c r="W209" s="2279"/>
      <c r="X209" s="2829"/>
      <c r="Y209" s="2829"/>
      <c r="Z209" s="2276"/>
      <c r="AA209" s="2829"/>
      <c r="AB209" s="2844"/>
      <c r="AC209" s="2280"/>
      <c r="AD209" s="2829"/>
      <c r="AE209" s="2829"/>
      <c r="AF209" s="2475"/>
      <c r="AG209" s="2475"/>
      <c r="AH209" s="2281"/>
      <c r="AI209" s="1988"/>
    </row>
    <row s="63225" customFormat="1" customHeight="1" ht="15">
      <c r="D210" s="3215"/>
      <c r="E210" s="2891"/>
      <c r="F210" s="2891"/>
      <c r="G210" s="2871"/>
      <c r="H210" s="2292"/>
      <c r="I210" s="2874"/>
      <c r="J210" s="2845"/>
      <c r="K210" s="2302"/>
      <c r="L210" s="2830"/>
      <c r="M210" s="2830"/>
      <c r="N210" s="2282"/>
      <c r="O210" s="2830"/>
      <c r="P210" s="2845"/>
      <c r="Q210" s="2482"/>
      <c r="R210" s="2830"/>
      <c r="S210" s="2830"/>
      <c r="T210" s="2550"/>
      <c r="U210" s="2830"/>
      <c r="V210" s="2845"/>
      <c r="W210" s="2285"/>
      <c r="X210" s="2830"/>
      <c r="Y210" s="2830"/>
      <c r="Z210" s="2282"/>
      <c r="AA210" s="2830"/>
      <c r="AB210" s="2845"/>
      <c r="AC210" s="2286"/>
      <c r="AD210" s="2830"/>
      <c r="AE210" s="2830"/>
      <c r="AF210" s="2480"/>
      <c r="AG210" s="2480"/>
      <c r="AH210" s="2869"/>
      <c r="AI210" s="2870"/>
    </row>
    <row s="63225" customFormat="1" customHeight="1" ht="15">
      <c r="D211" s="3215"/>
      <c r="E211" s="2891"/>
      <c r="F211" s="2891"/>
      <c r="G211" s="2871"/>
      <c r="H211" s="2292"/>
      <c r="I211" s="2874"/>
      <c r="J211" s="2845"/>
      <c r="K211" s="2302"/>
      <c r="L211" s="2830"/>
      <c r="M211" s="2830"/>
      <c r="N211" s="2282"/>
      <c r="O211" s="2830"/>
      <c r="P211" s="2845"/>
      <c r="Q211" s="2482"/>
      <c r="R211" s="2830"/>
      <c r="S211" s="2830"/>
      <c r="T211" s="2550"/>
      <c r="U211" s="2830"/>
      <c r="V211" s="2845"/>
      <c r="W211" s="2285"/>
      <c r="X211" s="2830"/>
      <c r="Y211" s="2830"/>
      <c r="Z211" s="2478"/>
      <c r="AA211" s="2480"/>
      <c r="AB211" s="2869"/>
      <c r="AC211" s="2869"/>
      <c r="AD211" s="2869"/>
      <c r="AE211" s="2869"/>
      <c r="AF211" s="2869"/>
      <c r="AG211" s="2869"/>
      <c r="AH211" s="2869"/>
      <c r="AI211" s="2870"/>
    </row>
    <row s="63225" customFormat="1" customHeight="1" ht="15">
      <c r="D212" s="3215"/>
      <c r="E212" s="2891"/>
      <c r="F212" s="2891"/>
      <c r="G212" s="2871"/>
      <c r="H212" s="2292"/>
      <c r="I212" s="2874"/>
      <c r="J212" s="2845"/>
      <c r="K212" s="2302"/>
      <c r="L212" s="2830"/>
      <c r="M212" s="2830"/>
      <c r="N212" s="2282"/>
      <c r="O212" s="2830"/>
      <c r="P212" s="2845"/>
      <c r="Q212" s="2482"/>
      <c r="R212" s="2830"/>
      <c r="S212" s="2830"/>
      <c r="T212" s="2551"/>
      <c r="U212" s="2289"/>
      <c r="V212" s="2869"/>
      <c r="W212" s="2869"/>
      <c r="X212" s="2869"/>
      <c r="Y212" s="2869"/>
      <c r="Z212" s="2869"/>
      <c r="AA212" s="2869"/>
      <c r="AB212" s="2869"/>
      <c r="AC212" s="2869"/>
      <c r="AD212" s="2869"/>
      <c r="AE212" s="2869"/>
      <c r="AF212" s="2869"/>
      <c r="AG212" s="2869"/>
      <c r="AH212" s="2869"/>
      <c r="AI212" s="2870"/>
    </row>
    <row s="63225" customFormat="1" customHeight="1" ht="11.25">
      <c r="D213" s="3215"/>
      <c r="E213" s="2891"/>
      <c r="F213" s="2891"/>
      <c r="G213" s="2871"/>
      <c r="H213" s="2293"/>
      <c r="I213" s="2874"/>
      <c r="J213" s="2845"/>
      <c r="K213" s="2302"/>
      <c r="L213" s="2830"/>
      <c r="M213" s="2830"/>
      <c r="N213" s="2480"/>
      <c r="O213" s="2480"/>
      <c r="P213" s="2869"/>
      <c r="Q213" s="2869"/>
      <c r="R213" s="2869"/>
      <c r="S213" s="2869"/>
      <c r="T213" s="2869"/>
      <c r="U213" s="2869"/>
      <c r="V213" s="2869"/>
      <c r="W213" s="2869"/>
      <c r="X213" s="2869"/>
      <c r="Y213" s="2869"/>
      <c r="Z213" s="2869"/>
      <c r="AA213" s="2869"/>
      <c r="AB213" s="2869"/>
      <c r="AC213" s="2869"/>
      <c r="AD213" s="2869"/>
      <c r="AE213" s="2869"/>
      <c r="AF213" s="2869"/>
      <c r="AG213" s="2869"/>
      <c r="AH213" s="2869"/>
      <c r="AI213" s="2870"/>
    </row>
    <row s="58049" customFormat="1" customHeight="1" ht="11.25">
      <c r="D214" s="3215"/>
      <c r="E214" s="2891"/>
      <c r="F214" s="2891"/>
      <c r="G214" s="2876"/>
      <c r="H214" s="2290"/>
      <c r="I214" s="2294"/>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9"/>
      <c r="AD214" s="2879"/>
      <c r="AE214" s="2879"/>
      <c r="AF214" s="2879"/>
      <c r="AG214" s="2879"/>
      <c r="AH214" s="2879"/>
      <c r="AI214" s="2880"/>
      <c r="BK214" s="2266"/>
    </row>
    <row customHeight="1" ht="17.25">
      <c r="A215" s="2542"/>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CBF27C-85E8-5ABC-51C9-9B8BBB4F46FB}"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63104" width="43.140625"/>
    <col min="2" max="2" style="63104" width="43.140625" hidden="1"/>
    <col min="3" max="3" style="63104" width="43.140625"/>
    <col min="4" max="5" style="63104" width="36.421875" customWidth="1"/>
    <col min="6" max="8" style="63105" width="36.421875" customWidth="1"/>
  </cols>
  <sheetData>
    <row customHeight="1" ht="9">
      <c r="A1" s="1538" t="s">
        <v>2020</v>
      </c>
      <c r="B1" s="1538"/>
      <c r="C1" s="1674" t="s">
        <v>2021</v>
      </c>
      <c r="D1" s="1672" t="s">
        <v>881</v>
      </c>
      <c r="E1" s="1672" t="s">
        <v>927</v>
      </c>
      <c r="F1" s="1672" t="s">
        <v>980</v>
      </c>
      <c r="G1" s="1672" t="s">
        <v>967</v>
      </c>
      <c r="H1" s="1672" t="s">
        <v>1693</v>
      </c>
    </row>
    <row customHeight="1" ht="9">
      <c r="A2" s="1675" t="s">
        <v>2022</v>
      </c>
      <c r="B2" s="1675"/>
      <c r="C2" s="1676" t="str">
        <f>INDEX(TEMPLATE_NUMBER_FORM_LIST,MATCH(TEMPLATE_SPHERE,TEMPLATE_SPHERE_LIST,0))</f>
        <v>16</v>
      </c>
      <c r="D2" s="1675" t="s">
        <v>1542</v>
      </c>
      <c r="E2" s="1675" t="s">
        <v>157</v>
      </c>
      <c r="F2" s="1677" t="s">
        <v>157</v>
      </c>
      <c r="G2" s="1675" t="s">
        <v>157</v>
      </c>
      <c r="H2" s="1678"/>
    </row>
    <row customHeight="1" ht="63">
      <c r="A3" s="1538"/>
      <c r="B3" s="1538" t="s">
        <v>118</v>
      </c>
      <c r="C3" s="167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676" t="s">
        <v>2023</v>
      </c>
      <c r="E3" s="167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677"/>
      <c r="G3" s="1678"/>
      <c r="H3" s="1538"/>
    </row>
    <row customHeight="1" ht="243">
      <c r="A4" s="1538" t="s">
        <v>2024</v>
      </c>
      <c r="B4" s="1538" t="s">
        <v>103</v>
      </c>
      <c r="C4" s="167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675" t="s">
        <v>2025</v>
      </c>
      <c r="E4" s="16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675"/>
      <c r="G4" s="1675"/>
      <c r="H4" s="1538" t="s">
        <v>2026</v>
      </c>
    </row>
    <row customHeight="1" ht="117">
      <c r="A5" s="1538" t="s">
        <v>2027</v>
      </c>
      <c r="B5" s="1538" t="s">
        <v>91</v>
      </c>
      <c r="C5" s="167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538" t="s">
        <v>2028</v>
      </c>
      <c r="E5" s="154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678"/>
      <c r="G5" s="1678"/>
      <c r="H5" s="1538" t="s">
        <v>2029</v>
      </c>
    </row>
    <row customHeight="1" ht="90">
      <c r="A6" s="1538" t="s">
        <v>2030</v>
      </c>
      <c r="B6" s="1538" t="s">
        <v>92</v>
      </c>
      <c r="C6" s="167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54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54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538"/>
      <c r="G6" s="1538"/>
      <c r="H6" s="1678"/>
    </row>
    <row customHeight="1" ht="45">
      <c r="A7" s="1538" t="s">
        <v>2031</v>
      </c>
      <c r="B7" s="1538" t="s">
        <v>119</v>
      </c>
      <c r="C7" s="1676" t="str">
        <f>IF(TEMPLATE_SPHERE="HEAT",D7,E7)</f>
        <v>Форма 11. Информация о расходах на капитальный и текущий ремонт основных средств</v>
      </c>
      <c r="D7" s="1538" t="s">
        <v>2032</v>
      </c>
      <c r="E7" s="1538" t="s">
        <v>2033</v>
      </c>
      <c r="F7" s="1678"/>
      <c r="G7" s="1678"/>
      <c r="H7" s="1678"/>
    </row>
    <row customHeight="1" ht="108">
      <c r="A8" s="1538" t="s">
        <v>2034</v>
      </c>
      <c r="B8" s="1538" t="s">
        <v>93</v>
      </c>
      <c r="C8" s="167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538" t="s">
        <v>1233</v>
      </c>
      <c r="E8" s="1538" t="s">
        <v>2035</v>
      </c>
      <c r="F8" s="1678"/>
      <c r="G8" s="1678"/>
      <c r="H8" s="1678"/>
    </row>
    <row customHeight="1" ht="99">
      <c r="A9" s="1538" t="s">
        <v>2036</v>
      </c>
      <c r="B9" s="1538"/>
      <c r="C9" s="1538" t="s">
        <v>2037</v>
      </c>
      <c r="D9" s="1538"/>
      <c r="E9" s="1538"/>
      <c r="F9" s="1678"/>
      <c r="G9" s="1678"/>
      <c r="H9" s="1678"/>
    </row>
    <row customHeight="1" ht="126">
      <c r="A10" s="1538" t="s">
        <v>2038</v>
      </c>
      <c r="B10" s="1538"/>
      <c r="C10" s="1538" t="s">
        <v>2039</v>
      </c>
      <c r="D10" s="1538"/>
      <c r="E10" s="1538"/>
      <c r="F10" s="1678"/>
      <c r="G10" s="1678"/>
      <c r="H10" s="1678"/>
    </row>
    <row customHeight="1" ht="108">
      <c r="A11" s="1538" t="s">
        <v>2040</v>
      </c>
      <c r="B11" s="1538"/>
      <c r="C11" s="1538" t="s">
        <v>2041</v>
      </c>
      <c r="D11" s="1538"/>
      <c r="E11" s="1538"/>
      <c r="F11" s="1678"/>
      <c r="G11" s="1678"/>
      <c r="H11" s="1678"/>
    </row>
    <row customHeight="1" ht="54">
      <c r="A12" s="1538" t="s">
        <v>2042</v>
      </c>
      <c r="B12" s="1538"/>
      <c r="C12" s="1538" t="s">
        <v>2043</v>
      </c>
      <c r="D12" s="1538"/>
      <c r="E12" s="1538"/>
      <c r="F12" s="1678"/>
      <c r="G12" s="1678"/>
      <c r="H12" s="1678"/>
    </row>
    <row customHeight="1" ht="45">
      <c r="A13" s="1538" t="s">
        <v>2044</v>
      </c>
      <c r="B13" s="1538"/>
      <c r="C13" s="1538" t="s">
        <v>2045</v>
      </c>
      <c r="D13" s="1538"/>
      <c r="E13" s="1538"/>
      <c r="F13" s="1678"/>
      <c r="G13" s="1678"/>
      <c r="H13" s="1678"/>
    </row>
    <row customHeight="1" ht="117">
      <c r="A14" s="1538" t="s">
        <v>2046</v>
      </c>
      <c r="B14" s="1538"/>
      <c r="C14" s="1538" t="s">
        <v>2047</v>
      </c>
      <c r="D14" s="1538"/>
      <c r="E14" s="1538"/>
      <c r="F14" s="1678"/>
      <c r="G14" s="1678"/>
      <c r="H14" s="1678"/>
    </row>
    <row customHeight="1" ht="117">
      <c r="A15" s="1538" t="s">
        <v>2048</v>
      </c>
      <c r="B15" s="1538"/>
      <c r="C15" s="1538" t="s">
        <v>2049</v>
      </c>
      <c r="D15" s="1538"/>
      <c r="E15" s="1538"/>
      <c r="F15" s="1678"/>
      <c r="G15" s="1678"/>
      <c r="H15" s="1678"/>
    </row>
    <row customHeight="1" ht="63">
      <c r="A16" s="1538" t="s">
        <v>2050</v>
      </c>
      <c r="B16" s="1538"/>
      <c r="C16" s="1538" t="s">
        <v>2051</v>
      </c>
      <c r="D16" s="1538"/>
      <c r="E16" s="1538"/>
      <c r="F16" s="1678"/>
      <c r="G16" s="1678"/>
      <c r="H16" s="1678"/>
    </row>
    <row customHeight="1" ht="54">
      <c r="A17" s="1538" t="s">
        <v>2052</v>
      </c>
      <c r="B17" s="1538"/>
      <c r="C17" s="1676" t="s">
        <v>2053</v>
      </c>
      <c r="D17" s="1538"/>
      <c r="E17" s="1538"/>
      <c r="F17" s="1678"/>
      <c r="G17" s="1678"/>
      <c r="H17" s="1678"/>
    </row>
    <row customHeight="1" ht="27">
      <c r="A18" s="1538" t="s">
        <v>2054</v>
      </c>
      <c r="B18" s="1538"/>
      <c r="C18" s="1676" t="s">
        <v>2055</v>
      </c>
      <c r="D18" s="1538"/>
      <c r="E18" s="1538"/>
      <c r="F18" s="1678"/>
      <c r="G18" s="1678"/>
      <c r="H18" s="1678"/>
    </row>
    <row customHeight="1" ht="54">
      <c r="A19" s="1538" t="s">
        <v>2056</v>
      </c>
      <c r="B19" s="1538"/>
      <c r="C19" s="1676" t="s">
        <v>2057</v>
      </c>
      <c r="D19" s="1538"/>
      <c r="E19" s="1538"/>
      <c r="F19" s="1678"/>
      <c r="G19" s="1678"/>
      <c r="H19" s="1678"/>
    </row>
    <row customHeight="1" ht="36">
      <c r="A20" s="1538" t="s">
        <v>2058</v>
      </c>
      <c r="B20" s="1538"/>
      <c r="C20" s="1676" t="s">
        <v>2059</v>
      </c>
      <c r="D20" s="1538"/>
      <c r="E20" s="1538"/>
      <c r="F20" s="1678"/>
      <c r="G20" s="1678"/>
      <c r="H20" s="1678"/>
    </row>
    <row customHeight="1" ht="36">
      <c r="A21" s="1538" t="s">
        <v>2060</v>
      </c>
      <c r="B21" s="1538"/>
      <c r="C21" s="1676" t="s">
        <v>2061</v>
      </c>
      <c r="D21" s="1538"/>
      <c r="E21" s="1538"/>
      <c r="F21" s="1678"/>
      <c r="G21" s="1678"/>
      <c r="H21" s="1678"/>
    </row>
    <row customHeight="1" ht="27">
      <c r="A22" s="1538" t="s">
        <v>2062</v>
      </c>
      <c r="B22" s="1538"/>
      <c r="C22" s="1676" t="s">
        <v>2063</v>
      </c>
      <c r="D22" s="1538"/>
      <c r="E22" s="1538"/>
      <c r="F22" s="1678"/>
      <c r="G22" s="1678"/>
      <c r="H22" s="1678"/>
    </row>
    <row customHeight="1" ht="36">
      <c r="A23" s="1538" t="s">
        <v>2064</v>
      </c>
      <c r="B23" s="1538"/>
      <c r="C23" s="1676" t="s">
        <v>2065</v>
      </c>
      <c r="D23" s="1538"/>
      <c r="E23" s="1538"/>
      <c r="F23" s="1678"/>
      <c r="G23" s="1678"/>
      <c r="H23" s="1678"/>
    </row>
    <row customHeight="1" ht="28.5">
      <c r="A24" s="1538" t="s">
        <v>2066</v>
      </c>
      <c r="B24" s="1538"/>
      <c r="C24" s="1676" t="s">
        <v>2067</v>
      </c>
      <c r="D24" s="1538"/>
      <c r="E24" s="1538"/>
      <c r="F24" s="1678"/>
      <c r="G24" s="1678"/>
      <c r="H24" s="1678"/>
    </row>
    <row customHeight="1" ht="36">
      <c r="A25" s="1538" t="s">
        <v>2068</v>
      </c>
      <c r="B25" s="1538"/>
      <c r="C25" s="1676" t="s">
        <v>2069</v>
      </c>
      <c r="D25" s="1538"/>
      <c r="E25" s="1538"/>
      <c r="F25" s="1678"/>
      <c r="G25" s="1678"/>
      <c r="H25" s="1678"/>
    </row>
    <row customHeight="1" ht="27">
      <c r="A26" s="1538" t="s">
        <v>2070</v>
      </c>
      <c r="B26" s="1538"/>
      <c r="C26" s="1676" t="s">
        <v>2071</v>
      </c>
      <c r="D26" s="1538"/>
      <c r="E26" s="1538"/>
      <c r="F26" s="1678"/>
      <c r="G26" s="1678"/>
      <c r="H26" s="1678"/>
    </row>
    <row customHeight="1" ht="36">
      <c r="A27" s="1538" t="s">
        <v>2072</v>
      </c>
      <c r="B27" s="1538"/>
      <c r="C27" s="1676" t="s">
        <v>2073</v>
      </c>
      <c r="D27" s="1538"/>
      <c r="E27" s="1538"/>
      <c r="F27" s="1678"/>
      <c r="G27" s="1678"/>
      <c r="H27" s="1678"/>
    </row>
    <row customHeight="1" ht="28.5">
      <c r="A28" s="1538" t="s">
        <v>2074</v>
      </c>
      <c r="B28" s="1538"/>
      <c r="C28" s="1676" t="s">
        <v>2075</v>
      </c>
      <c r="D28" s="1538"/>
      <c r="E28" s="1538"/>
      <c r="F28" s="1678"/>
      <c r="G28" s="1678"/>
      <c r="H28" s="1678"/>
    </row>
    <row customHeight="1" ht="126">
      <c r="A29" s="1538" t="s">
        <v>2076</v>
      </c>
      <c r="B29" s="1538" t="s">
        <v>1644</v>
      </c>
      <c r="C29" s="167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538" t="s">
        <v>2077</v>
      </c>
      <c r="E29" s="154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678"/>
      <c r="G29" s="1678"/>
      <c r="H29" s="1538" t="s">
        <v>2078</v>
      </c>
    </row>
    <row customHeight="1" ht="36">
      <c r="A30" s="1538" t="s">
        <v>2079</v>
      </c>
      <c r="B30" s="1538"/>
      <c r="C30" s="167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538" t="s">
        <v>2080</v>
      </c>
      <c r="E30" s="154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678"/>
      <c r="G30" s="1678"/>
      <c r="H30" s="1678"/>
    </row>
    <row customHeight="1" ht="54">
      <c r="A31" s="1538" t="s">
        <v>2081</v>
      </c>
      <c r="B31" s="1538"/>
      <c r="C31" s="167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538" t="s">
        <v>2082</v>
      </c>
      <c r="E31" s="154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678"/>
      <c r="G31" s="1678"/>
      <c r="H31" s="1678"/>
    </row>
    <row customHeight="1" ht="198">
      <c r="A32" s="1538" t="s">
        <v>2083</v>
      </c>
      <c r="B32" s="1538"/>
      <c r="C32" s="167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538" t="s">
        <v>2084</v>
      </c>
      <c r="E32" s="154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678"/>
      <c r="G32" s="1678"/>
      <c r="H32" s="1538" t="s">
        <v>2085</v>
      </c>
    </row>
    <row customHeight="1" ht="9">
      <c r="A33" s="1538"/>
      <c r="B33" s="1538"/>
      <c r="C33" s="1676"/>
      <c r="D33" s="1538"/>
      <c r="E33" s="1538"/>
      <c r="F33" s="1678"/>
      <c r="G33" s="1678"/>
      <c r="H33" s="1678"/>
    </row>
    <row customHeight="1" ht="9">
      <c r="A34" s="1538"/>
      <c r="B34" s="1538" t="s">
        <v>1580</v>
      </c>
      <c r="C34" s="1676">
        <f>INDEX(TEMPLATE_NAME_FORM_LIST,B34,MATCH(TEMPLATE_SPHERE,TEMPLATE_SPHERE_LIST,0))</f>
        <v>0</v>
      </c>
      <c r="D34" s="1538"/>
      <c r="E34" s="1538"/>
      <c r="F34" s="1678"/>
      <c r="G34" s="1678"/>
      <c r="H34" s="1678"/>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F516EC7-40F8-3D5C-5671-784FCFE5A98A}"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63104" width="9.140625"/>
    <col min="3" max="7" style="63148" width="8.00390625" customWidth="1"/>
    <col min="8" max="12" style="63148" width="8.57421875" customWidth="1"/>
    <col min="13" max="14" style="63148" width="27.7109375" customWidth="1"/>
    <col min="15" max="19" style="63148" width="5.140625" customWidth="1"/>
    <col min="20" max="24" style="63148" width="27.7109375" customWidth="1"/>
    <col min="25" max="25" style="63149" width="1.8515625" customWidth="1"/>
    <col min="26" max="26" style="63104" width="27.7109375" customWidth="1"/>
    <col min="27" max="27" style="63150" width="27.7109375" customWidth="1"/>
    <col min="28" max="29" style="63104" width="27.7109375" customWidth="1"/>
    <col min="30" max="30" style="63104" width="3.8515625" customWidth="1"/>
    <col min="31" max="34" style="63104" width="9.140625"/>
  </cols>
  <sheetData>
    <row s="63106" customFormat="1" customHeight="1" ht="18">
      <c r="A1" s="1590"/>
      <c r="B1" s="1590"/>
      <c r="C1" s="1590" t="s">
        <v>2086</v>
      </c>
      <c r="D1" s="1590"/>
      <c r="E1" s="1590"/>
      <c r="F1" s="1590"/>
      <c r="G1" s="1590"/>
      <c r="H1" s="1590" t="s">
        <v>2087</v>
      </c>
      <c r="I1" s="1590"/>
      <c r="J1" s="1590"/>
      <c r="K1" s="1590"/>
      <c r="L1" s="1590"/>
      <c r="M1" s="1590" t="s">
        <v>2088</v>
      </c>
      <c r="N1" s="1590" t="s">
        <v>2089</v>
      </c>
      <c r="O1" s="3284" t="s">
        <v>2090</v>
      </c>
      <c r="P1" s="3284"/>
      <c r="Q1" s="3284"/>
      <c r="R1" s="3284"/>
      <c r="S1" s="3284"/>
      <c r="T1" s="3284" t="s">
        <v>2088</v>
      </c>
      <c r="U1" s="3284"/>
      <c r="V1" s="3284"/>
      <c r="W1" s="3284"/>
      <c r="X1" s="3284"/>
      <c r="Y1" s="1691"/>
      <c r="Z1" s="3284" t="s">
        <v>2091</v>
      </c>
      <c r="AA1" s="3284"/>
      <c r="AB1" s="3284"/>
      <c r="AC1" s="3284"/>
      <c r="AD1" s="3284"/>
    </row>
    <row customHeight="1" ht="18">
      <c r="A2" s="1538"/>
      <c r="B2" s="1538"/>
      <c r="C2" s="1533" t="s">
        <v>881</v>
      </c>
      <c r="D2" s="1533" t="s">
        <v>927</v>
      </c>
      <c r="E2" s="1533" t="s">
        <v>980</v>
      </c>
      <c r="F2" s="1533" t="s">
        <v>967</v>
      </c>
      <c r="G2" s="1533" t="s">
        <v>1693</v>
      </c>
      <c r="H2" s="1535"/>
      <c r="I2" s="1535"/>
      <c r="J2" s="1535"/>
      <c r="K2" s="1535"/>
      <c r="L2" s="1535"/>
      <c r="M2" s="1535"/>
      <c r="N2" s="1535"/>
      <c r="O2" s="1533" t="s">
        <v>881</v>
      </c>
      <c r="P2" s="1533" t="s">
        <v>927</v>
      </c>
      <c r="Q2" s="1533" t="s">
        <v>967</v>
      </c>
      <c r="R2" s="1533" t="s">
        <v>980</v>
      </c>
      <c r="S2" s="1533" t="s">
        <v>1693</v>
      </c>
      <c r="T2" s="1533" t="s">
        <v>881</v>
      </c>
      <c r="U2" s="1533" t="s">
        <v>927</v>
      </c>
      <c r="V2" s="1533" t="s">
        <v>967</v>
      </c>
      <c r="W2" s="1533" t="s">
        <v>980</v>
      </c>
      <c r="X2" s="1533" t="s">
        <v>1693</v>
      </c>
      <c r="Y2" s="1533"/>
      <c r="Z2" s="1533" t="s">
        <v>881</v>
      </c>
      <c r="AA2" s="1542" t="s">
        <v>927</v>
      </c>
      <c r="AB2" s="1533" t="s">
        <v>967</v>
      </c>
      <c r="AC2" s="1533" t="s">
        <v>980</v>
      </c>
      <c r="AD2" s="1533" t="s">
        <v>1693</v>
      </c>
    </row>
    <row customHeight="1" ht="162">
      <c r="A3" s="1537" t="s">
        <v>26</v>
      </c>
      <c r="B3" s="1537"/>
      <c r="C3" s="3288" t="s">
        <v>2092</v>
      </c>
      <c r="D3" s="3289"/>
      <c r="E3" s="3289"/>
      <c r="F3" s="3290"/>
      <c r="G3" s="1535"/>
      <c r="H3" s="1535"/>
      <c r="I3" s="1535"/>
      <c r="J3" s="1535"/>
      <c r="K3" s="1535"/>
      <c r="L3" s="1535"/>
      <c r="M3" s="1535"/>
      <c r="N3" s="153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535"/>
      <c r="P3" s="1535"/>
      <c r="Q3" s="1535"/>
      <c r="R3" s="1535"/>
      <c r="S3" s="1535"/>
      <c r="T3" s="1535"/>
      <c r="U3" s="1535"/>
      <c r="V3" s="1535"/>
      <c r="W3" s="1535"/>
      <c r="X3" s="1535"/>
      <c r="Y3" s="1692"/>
      <c r="Z3" s="1538" t="s">
        <v>2093</v>
      </c>
      <c r="AA3" s="1535" t="s">
        <v>2094</v>
      </c>
      <c r="AB3" s="1538" t="s">
        <v>2095</v>
      </c>
      <c r="AC3" s="1538" t="s">
        <v>2096</v>
      </c>
      <c r="AD3" s="1538"/>
      <c r="AG3" s="1538"/>
      <c r="AH3" s="1538"/>
    </row>
    <row customHeight="1" ht="9">
      <c r="A4" s="1537"/>
      <c r="B4" s="1537"/>
      <c r="C4" s="1535"/>
      <c r="D4" s="1535"/>
      <c r="E4" s="1535"/>
      <c r="F4" s="1535"/>
      <c r="G4" s="1535"/>
      <c r="H4" s="1535"/>
      <c r="I4" s="1535"/>
      <c r="J4" s="1535"/>
      <c r="K4" s="1535"/>
      <c r="L4" s="1535"/>
      <c r="M4" s="1535"/>
      <c r="N4" s="1535"/>
      <c r="O4" s="1535"/>
      <c r="P4" s="1535"/>
      <c r="Q4" s="1535"/>
      <c r="R4" s="1535"/>
      <c r="S4" s="1535"/>
      <c r="T4" s="1535"/>
      <c r="U4" s="1535"/>
      <c r="V4" s="1535"/>
      <c r="W4" s="1535"/>
      <c r="X4" s="1535"/>
      <c r="Y4" s="1692"/>
      <c r="Z4" s="1538"/>
      <c r="AA4" s="1541"/>
      <c r="AB4" s="1538"/>
      <c r="AC4" s="1538"/>
      <c r="AD4" s="1538"/>
    </row>
    <row customHeight="1" ht="9">
      <c r="A5" s="1537"/>
      <c r="B5" s="1537"/>
      <c r="C5" s="1535"/>
      <c r="D5" s="1535"/>
      <c r="E5" s="1535"/>
      <c r="F5" s="1535"/>
      <c r="G5" s="1535"/>
      <c r="H5" s="1535"/>
      <c r="I5" s="1535"/>
      <c r="J5" s="1535"/>
      <c r="K5" s="1535"/>
      <c r="L5" s="1535"/>
      <c r="M5" s="1535"/>
      <c r="N5" s="1535"/>
      <c r="O5" s="1535"/>
      <c r="P5" s="1535"/>
      <c r="Q5" s="1535"/>
      <c r="R5" s="1535"/>
      <c r="S5" s="1535"/>
      <c r="T5" s="1535"/>
      <c r="U5" s="1535"/>
      <c r="V5" s="1535"/>
      <c r="W5" s="1535"/>
      <c r="X5" s="1535"/>
      <c r="Y5" s="1692"/>
      <c r="Z5" s="1538"/>
      <c r="AA5" s="1541"/>
      <c r="AB5" s="1538"/>
      <c r="AC5" s="1538"/>
      <c r="AD5" s="1538"/>
    </row>
    <row customHeight="1" ht="9">
      <c r="A6" s="1537"/>
      <c r="B6" s="1537"/>
      <c r="C6" s="1535"/>
      <c r="D6" s="1535"/>
      <c r="E6" s="1535"/>
      <c r="F6" s="1535"/>
      <c r="G6" s="1535"/>
      <c r="H6" s="1535"/>
      <c r="I6" s="1535"/>
      <c r="J6" s="1535"/>
      <c r="K6" s="1535"/>
      <c r="L6" s="1535"/>
      <c r="M6" s="1535"/>
      <c r="N6" s="1535"/>
      <c r="O6" s="1535"/>
      <c r="P6" s="1535"/>
      <c r="Q6" s="1535"/>
      <c r="R6" s="1535"/>
      <c r="S6" s="1535"/>
      <c r="T6" s="1535"/>
      <c r="U6" s="1535"/>
      <c r="V6" s="1535"/>
      <c r="W6" s="1535"/>
      <c r="X6" s="1535"/>
      <c r="Y6" s="1692"/>
      <c r="Z6" s="1538"/>
      <c r="AA6" s="1541"/>
      <c r="AB6" s="1538"/>
      <c r="AC6" s="1538"/>
      <c r="AD6" s="1538"/>
    </row>
    <row customHeight="1" ht="9">
      <c r="A7" s="1537"/>
      <c r="B7" s="1537"/>
      <c r="C7" s="1535"/>
      <c r="D7" s="1535"/>
      <c r="E7" s="1535"/>
      <c r="F7" s="1535"/>
      <c r="G7" s="1535"/>
      <c r="H7" s="1535"/>
      <c r="I7" s="1535"/>
      <c r="J7" s="1535"/>
      <c r="K7" s="1535"/>
      <c r="L7" s="1535"/>
      <c r="M7" s="1535"/>
      <c r="N7" s="1535"/>
      <c r="O7" s="1535"/>
      <c r="P7" s="1535"/>
      <c r="Q7" s="1535"/>
      <c r="R7" s="1535"/>
      <c r="S7" s="1535"/>
      <c r="T7" s="1535"/>
      <c r="U7" s="1535"/>
      <c r="V7" s="1535"/>
      <c r="W7" s="1535"/>
      <c r="X7" s="1535"/>
      <c r="Y7" s="1692"/>
      <c r="Z7" s="1538"/>
      <c r="AA7" s="1541"/>
      <c r="AB7" s="1538"/>
      <c r="AC7" s="1538"/>
      <c r="AD7" s="1538"/>
    </row>
    <row customHeight="1" ht="9">
      <c r="A8" s="1537"/>
      <c r="B8" s="1537"/>
      <c r="C8" s="1535"/>
      <c r="D8" s="1535"/>
      <c r="E8" s="1535"/>
      <c r="F8" s="1535"/>
      <c r="G8" s="1535"/>
      <c r="H8" s="1535"/>
      <c r="I8" s="1535"/>
      <c r="J8" s="1535"/>
      <c r="K8" s="1535"/>
      <c r="L8" s="1535"/>
      <c r="M8" s="1535"/>
      <c r="N8" s="1535"/>
      <c r="O8" s="1535"/>
      <c r="P8" s="1535"/>
      <c r="Q8" s="1535"/>
      <c r="R8" s="1535"/>
      <c r="S8" s="1535"/>
      <c r="T8" s="1535"/>
      <c r="U8" s="1535"/>
      <c r="V8" s="1535"/>
      <c r="W8" s="1535"/>
      <c r="X8" s="1535"/>
      <c r="Y8" s="1692"/>
      <c r="Z8" s="1538"/>
      <c r="AA8" s="1541"/>
      <c r="AB8" s="1538"/>
      <c r="AC8" s="1538"/>
      <c r="AD8" s="1538"/>
    </row>
    <row customHeight="1" ht="9">
      <c r="A9" s="1537"/>
      <c r="B9" s="1537"/>
      <c r="C9" s="1535"/>
      <c r="D9" s="1535"/>
      <c r="E9" s="1535"/>
      <c r="F9" s="1535"/>
      <c r="G9" s="1535"/>
      <c r="H9" s="1535"/>
      <c r="I9" s="1535"/>
      <c r="J9" s="1535"/>
      <c r="K9" s="1535"/>
      <c r="L9" s="1535"/>
      <c r="M9" s="1535"/>
      <c r="N9" s="1535"/>
      <c r="O9" s="1535"/>
      <c r="P9" s="1535"/>
      <c r="Q9" s="1535"/>
      <c r="R9" s="1535"/>
      <c r="S9" s="1535"/>
      <c r="T9" s="1535"/>
      <c r="U9" s="1535"/>
      <c r="V9" s="1535"/>
      <c r="W9" s="1535"/>
      <c r="X9" s="1535"/>
      <c r="Y9" s="1692"/>
      <c r="Z9" s="1538"/>
      <c r="AA9" s="1541"/>
      <c r="AB9" s="1538"/>
      <c r="AC9" s="1538"/>
      <c r="AD9" s="1538"/>
    </row>
    <row customHeight="1" ht="9">
      <c r="A10" s="1591"/>
      <c r="B10" s="1591"/>
      <c r="C10" s="1591"/>
      <c r="D10" s="1591"/>
      <c r="E10" s="1591"/>
      <c r="F10" s="1591"/>
      <c r="G10" s="1591"/>
      <c r="H10" s="1591"/>
      <c r="I10" s="1591"/>
      <c r="J10" s="1591"/>
      <c r="K10" s="1591"/>
      <c r="L10" s="1591"/>
      <c r="M10" s="1591"/>
      <c r="N10" s="1591"/>
      <c r="O10" s="1591"/>
      <c r="P10" s="1591"/>
      <c r="Q10" s="1591"/>
      <c r="R10" s="1591"/>
      <c r="S10" s="1591"/>
      <c r="T10" s="1591"/>
      <c r="U10" s="1591"/>
      <c r="V10" s="1591"/>
      <c r="W10" s="1591"/>
      <c r="X10" s="1591"/>
      <c r="Y10" s="1591"/>
      <c r="Z10" s="1591"/>
      <c r="AA10" s="1591"/>
      <c r="AB10" s="1591"/>
      <c r="AC10" s="1591"/>
      <c r="AD10" s="1591"/>
    </row>
    <row customHeight="1" ht="45">
      <c r="A11" s="3285" t="s">
        <v>33</v>
      </c>
      <c r="B11" s="1591">
        <v>1</v>
      </c>
      <c r="C11" s="3291" t="s">
        <v>1631</v>
      </c>
      <c r="D11" s="3291" t="s">
        <v>1627</v>
      </c>
      <c r="E11" s="3291" t="s">
        <v>1726</v>
      </c>
      <c r="F11" s="3291" t="s">
        <v>2097</v>
      </c>
      <c r="G11" s="3291"/>
      <c r="H11" s="1590" t="s">
        <v>2098</v>
      </c>
      <c r="I11" s="1590"/>
      <c r="J11" s="1590"/>
      <c r="K11" s="1590"/>
      <c r="L11" s="1590"/>
      <c r="M11" s="1536" t="str">
        <f>IF(TEMPLATE_SPHERE="HEAT",T11,U11)</f>
        <v>Количество поданных заявок</v>
      </c>
      <c r="N11" s="1536"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535"/>
      <c r="P11" s="1535"/>
      <c r="Q11" s="1535"/>
      <c r="R11" s="1535"/>
      <c r="S11" s="1535"/>
      <c r="T11" s="1535" t="s">
        <v>2099</v>
      </c>
      <c r="U11" s="1535" t="s">
        <v>2100</v>
      </c>
      <c r="V11" s="1535"/>
      <c r="W11" s="1535"/>
      <c r="X11" s="1535"/>
      <c r="Y11" s="1692"/>
      <c r="Z11" s="1538" t="s">
        <v>2101</v>
      </c>
      <c r="AA11" s="154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538"/>
      <c r="AC11" s="1538"/>
      <c r="AD11" s="1538"/>
    </row>
    <row customHeight="1" ht="45">
      <c r="A12" s="3285"/>
      <c r="B12" s="1591">
        <v>2</v>
      </c>
      <c r="C12" s="3292"/>
      <c r="D12" s="3292"/>
      <c r="E12" s="3292"/>
      <c r="F12" s="3292"/>
      <c r="G12" s="3292"/>
      <c r="H12" s="1590" t="s">
        <v>2102</v>
      </c>
      <c r="I12" s="1590"/>
      <c r="J12" s="1590"/>
      <c r="K12" s="1590"/>
      <c r="L12" s="1590"/>
      <c r="M12" s="1536" t="str">
        <f>IF(TEMPLATE_SPHERE="HEAT",T12,U12)</f>
        <v>Количество рассмотренных заявок</v>
      </c>
      <c r="N12" s="1536"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535"/>
      <c r="P12" s="1535"/>
      <c r="Q12" s="1535"/>
      <c r="R12" s="1535"/>
      <c r="S12" s="1535"/>
      <c r="T12" s="1535" t="s">
        <v>2103</v>
      </c>
      <c r="U12" s="1535" t="s">
        <v>2104</v>
      </c>
      <c r="V12" s="1535"/>
      <c r="W12" s="1535"/>
      <c r="X12" s="1535"/>
      <c r="Y12" s="1692"/>
      <c r="Z12" s="1538" t="s">
        <v>2105</v>
      </c>
      <c r="AA12" s="154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538"/>
      <c r="AC12" s="1538"/>
      <c r="AD12" s="1538"/>
    </row>
    <row customHeight="1" ht="72">
      <c r="A13" s="3285"/>
      <c r="B13" s="1591">
        <v>3</v>
      </c>
      <c r="C13" s="3292"/>
      <c r="D13" s="3292"/>
      <c r="E13" s="3292"/>
      <c r="F13" s="3292"/>
      <c r="G13" s="3292"/>
      <c r="H13" s="3284" t="s">
        <v>2106</v>
      </c>
      <c r="I13" s="1590"/>
      <c r="J13" s="1590"/>
      <c r="K13" s="1590"/>
      <c r="L13" s="1590"/>
      <c r="M13" s="153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536" t="str">
        <f>IF(TEMPLATE_SPHERE="HEAT",Z13,AA13)</f>
        <v>Указывается количество заявок с решением об отказе в течение отчетного квартала.</v>
      </c>
      <c r="O13" s="1535"/>
      <c r="P13" s="1536"/>
      <c r="Q13" s="1536"/>
      <c r="R13" s="1536"/>
      <c r="S13" s="1535"/>
      <c r="T13" s="1535" t="s">
        <v>2107</v>
      </c>
      <c r="U13" s="1536" t="s">
        <v>2108</v>
      </c>
      <c r="V13" s="1536"/>
      <c r="W13" s="1536"/>
      <c r="X13" s="1535"/>
      <c r="Y13" s="1692"/>
      <c r="Z13" s="1538" t="s">
        <v>2109</v>
      </c>
      <c r="AA13" s="154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538"/>
      <c r="AC13" s="1538"/>
      <c r="AD13" s="1538"/>
    </row>
    <row customHeight="1" ht="45">
      <c r="A14" s="3285"/>
      <c r="B14" s="1591">
        <v>4</v>
      </c>
      <c r="C14" s="3292"/>
      <c r="D14" s="3292"/>
      <c r="E14" s="3292"/>
      <c r="F14" s="3292"/>
      <c r="G14" s="3292"/>
      <c r="H14" s="3284"/>
      <c r="I14" s="1593"/>
      <c r="J14" s="1593"/>
      <c r="K14" s="1593"/>
      <c r="L14" s="1593"/>
      <c r="M14" s="1539" t="str">
        <f>IF(TEMPLATE_SPHERE="HEAT",T14,U14)</f>
        <v>Причины отказа в заключении договора о подключении (технологическом присоединении) к системе теплоснабжения</v>
      </c>
      <c r="N14" s="153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535"/>
      <c r="P14" s="1536"/>
      <c r="Q14" s="1536"/>
      <c r="R14" s="1536"/>
      <c r="S14" s="1535"/>
      <c r="T14" s="1535" t="s">
        <v>2110</v>
      </c>
      <c r="U14" s="153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536"/>
      <c r="W14" s="1536"/>
      <c r="X14" s="1535"/>
      <c r="Y14" s="1692"/>
      <c r="Z14" s="1538" t="s">
        <v>2111</v>
      </c>
      <c r="AA14" s="1541" t="s">
        <v>2111</v>
      </c>
      <c r="AB14" s="1538"/>
      <c r="AC14" s="1538"/>
      <c r="AD14" s="1538"/>
    </row>
    <row customHeight="1" ht="108">
      <c r="A15" s="3285"/>
      <c r="B15" s="1591">
        <v>5</v>
      </c>
      <c r="C15" s="3292"/>
      <c r="D15" s="3292"/>
      <c r="E15" s="3292"/>
      <c r="F15" s="3292"/>
      <c r="G15" s="3292"/>
      <c r="H15" s="3286" t="s">
        <v>2112</v>
      </c>
      <c r="I15" s="1592"/>
      <c r="J15" s="1592"/>
      <c r="K15" s="1592"/>
      <c r="L15" s="1592"/>
      <c r="M15" s="1541" t="str">
        <f>IF(TEMPLATE_SPHERE="HEAT",T15,U15)</f>
        <v>Резерв мощности источников тепловой энергии, входящих в систему теплоснабжения, в течение одного квартала, в том числе:</v>
      </c>
      <c r="N15" s="1540"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535"/>
      <c r="P15" s="1536"/>
      <c r="Q15" s="1536"/>
      <c r="R15" s="1536"/>
      <c r="S15" s="1535"/>
      <c r="T15" s="1535" t="s">
        <v>2113</v>
      </c>
      <c r="U15" s="153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536"/>
      <c r="W15" s="1536"/>
      <c r="X15" s="1535"/>
      <c r="Y15" s="1692"/>
      <c r="Z15" s="1538" t="s">
        <v>2114</v>
      </c>
      <c r="AA15" s="154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538"/>
      <c r="AC15" s="1538"/>
      <c r="AD15" s="1538"/>
    </row>
    <row customHeight="1" ht="108">
      <c r="A16" s="1591"/>
      <c r="B16" s="1591">
        <v>6</v>
      </c>
      <c r="C16" s="3293"/>
      <c r="D16" s="3293"/>
      <c r="E16" s="3293"/>
      <c r="F16" s="3293"/>
      <c r="G16" s="3293"/>
      <c r="H16" s="3287"/>
      <c r="I16" s="1654"/>
      <c r="J16" s="1654"/>
      <c r="K16" s="1654"/>
      <c r="L16" s="1654"/>
      <c r="M16" s="1584"/>
      <c r="N16" s="1540"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535"/>
      <c r="P16" s="1536"/>
      <c r="Q16" s="1536"/>
      <c r="R16" s="1536"/>
      <c r="S16" s="1535"/>
      <c r="T16" s="1535"/>
      <c r="U16" s="1536"/>
      <c r="V16" s="1536"/>
      <c r="W16" s="1536"/>
      <c r="X16" s="1535"/>
      <c r="Y16" s="1692"/>
      <c r="Z16" s="1538" t="s">
        <v>2114</v>
      </c>
      <c r="AA16" s="154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538"/>
      <c r="AC16" s="1538"/>
      <c r="AD16" s="1538"/>
    </row>
    <row customHeight="1" ht="9">
      <c r="A17" s="1591"/>
      <c r="B17" s="1591"/>
      <c r="C17" s="1591">
        <v>22</v>
      </c>
      <c r="D17" s="1591">
        <v>21</v>
      </c>
      <c r="E17" s="1591">
        <v>42</v>
      </c>
      <c r="F17" s="1591">
        <v>63</v>
      </c>
      <c r="G17" s="1591"/>
      <c r="H17" s="1591"/>
      <c r="I17" s="1591"/>
      <c r="J17" s="1591"/>
      <c r="K17" s="1591"/>
      <c r="L17" s="1591"/>
      <c r="M17" s="1591"/>
      <c r="N17" s="1591"/>
      <c r="O17" s="1591"/>
      <c r="P17" s="1591"/>
      <c r="Q17" s="1591"/>
      <c r="R17" s="1591"/>
      <c r="S17" s="1591"/>
      <c r="T17" s="1591"/>
      <c r="U17" s="1591"/>
      <c r="V17" s="1591"/>
      <c r="W17" s="1591"/>
      <c r="X17" s="1591"/>
      <c r="Y17" s="1591"/>
      <c r="Z17" s="1591"/>
      <c r="AA17" s="1591"/>
      <c r="AB17" s="1591"/>
      <c r="AC17" s="1591"/>
      <c r="AD17" s="1591"/>
    </row>
    <row customHeight="1" ht="27">
      <c r="A18" s="1537" t="s">
        <v>1729</v>
      </c>
      <c r="B18" s="1591">
        <v>1</v>
      </c>
      <c r="C18" s="1535" t="s">
        <v>2098</v>
      </c>
      <c r="D18" s="1659" t="s">
        <v>2098</v>
      </c>
      <c r="E18" s="1535" t="s">
        <v>2098</v>
      </c>
      <c r="F18" s="1535" t="s">
        <v>2098</v>
      </c>
      <c r="G18" s="1535"/>
      <c r="H18" s="1694"/>
      <c r="I18" s="1697">
        <f>INDEX(TEMPLATE_NUMBER_POINT_FHD,B18,MATCH(TEMPLATE_SPHERE,TEMPLATE_SPHERE_LIST_FOR_NOTE,0))</f>
        <v>1</v>
      </c>
      <c r="J18" s="1697" t="str">
        <f>INDEX(TEMPLATE_DATA_POINT_FHD,B18,MATCH(TEMPLATE_SPHERE,TEMPLATE_SPHERE_LIST_FOR_NOTE,0))</f>
        <v>Выручка от регулируемого вида деятельности с распределением по видам деятельности</v>
      </c>
      <c r="K18" s="1697"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536">
        <f>IF(I18=0,"",I18)</f>
        <v>1</v>
      </c>
      <c r="M18" s="1536" t="str">
        <f>IF(J18=0,"",J18)</f>
        <v>Выручка от регулируемого вида деятельности с распределением по видам деятельности</v>
      </c>
      <c r="N18" s="1536" t="str">
        <f>IF(K18=0,"",K18)</f>
        <v>Указывается выручка от регулируемого вида деятельности с распределением по видам деятельности.</v>
      </c>
      <c r="O18" s="1649">
        <v>1</v>
      </c>
      <c r="P18" s="1649">
        <v>1</v>
      </c>
      <c r="Q18" s="1649">
        <v>1</v>
      </c>
      <c r="R18" s="1649">
        <v>1</v>
      </c>
      <c r="S18" s="1649"/>
      <c r="T18" s="1656" t="s">
        <v>2115</v>
      </c>
      <c r="U18" s="1538" t="s">
        <v>2116</v>
      </c>
      <c r="V18" s="1538" t="s">
        <v>2117</v>
      </c>
      <c r="W18" s="1538" t="s">
        <v>2118</v>
      </c>
      <c r="X18" s="1535"/>
      <c r="Y18" s="1692"/>
      <c r="Z18" s="1538" t="s">
        <v>2119</v>
      </c>
      <c r="AA18" s="1541" t="s">
        <v>2120</v>
      </c>
      <c r="AB18" s="1541" t="s">
        <v>2120</v>
      </c>
      <c r="AC18" s="1541" t="s">
        <v>2120</v>
      </c>
      <c r="AD18" s="1538"/>
    </row>
    <row customHeight="1" ht="36">
      <c r="A19" s="1537"/>
      <c r="B19" s="1591">
        <v>2</v>
      </c>
      <c r="C19" s="1535" t="s">
        <v>2102</v>
      </c>
      <c r="D19" s="1659" t="s">
        <v>2102</v>
      </c>
      <c r="E19" s="1535" t="s">
        <v>2102</v>
      </c>
      <c r="F19" s="1535" t="s">
        <v>2102</v>
      </c>
      <c r="G19" s="1535"/>
      <c r="H19" s="1694"/>
      <c r="I19" s="1697">
        <f>INDEX(TEMPLATE_NUMBER_POINT_FHD,B19,MATCH(TEMPLATE_SPHERE,TEMPLATE_SPHERE_LIST_FOR_NOTE,0))</f>
        <v>2</v>
      </c>
      <c r="J19" s="1697"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697" t="str">
        <f>INDEX(TEMPLATE_NOTE_POINT_FHD,B19,MATCH(TEMPLATE_SPHERE,TEMPLATE_SPHERE_LIST_FOR_NOTE,0))</f>
        <v>Указывается суммарная себестоимость производимых товаров.</v>
      </c>
      <c r="L19" s="1536">
        <f>IF(I19=0,"",I19)</f>
        <v>2</v>
      </c>
      <c r="M19" s="1536" t="str">
        <f>IF(J19=0,"",J19)</f>
        <v>Себестоимость производимых товаров (оказываемых услуг) по регулируемому виду деятельности, включая:</v>
      </c>
      <c r="N19" s="1536" t="str">
        <f>IF(K19=0,"",K19)</f>
        <v>Указывается суммарная себестоимость производимых товаров.</v>
      </c>
      <c r="O19" s="1649">
        <v>2</v>
      </c>
      <c r="P19" s="1649">
        <v>2</v>
      </c>
      <c r="Q19" s="1649">
        <v>2</v>
      </c>
      <c r="R19" s="1649">
        <v>2</v>
      </c>
      <c r="S19" s="1649"/>
      <c r="T19" s="1656" t="s">
        <v>2121</v>
      </c>
      <c r="U19" s="1538" t="s">
        <v>2122</v>
      </c>
      <c r="V19" s="1538" t="s">
        <v>2123</v>
      </c>
      <c r="W19" s="1538" t="s">
        <v>2124</v>
      </c>
      <c r="X19" s="1535"/>
      <c r="Y19" s="1692"/>
      <c r="Z19" s="1538" t="s">
        <v>2125</v>
      </c>
      <c r="AA19" s="1541" t="s">
        <v>2125</v>
      </c>
      <c r="AB19" s="1541" t="s">
        <v>2125</v>
      </c>
      <c r="AC19" s="1541" t="s">
        <v>2125</v>
      </c>
      <c r="AD19" s="1538"/>
    </row>
    <row customHeight="1" ht="27">
      <c r="A20" s="1537"/>
      <c r="B20" s="1591">
        <v>3</v>
      </c>
      <c r="C20" s="1535">
        <v>1</v>
      </c>
      <c r="D20" s="1659"/>
      <c r="E20" s="1535"/>
      <c r="F20" s="1535"/>
      <c r="G20" s="1535"/>
      <c r="H20" s="1694"/>
      <c r="I20" s="1697" t="str">
        <f>INDEX(TEMPLATE_NUMBER_POINT_FHD,B20,MATCH(TEMPLATE_SPHERE,TEMPLATE_SPHERE_LIST_FOR_NOTE,0))</f>
        <v>2.1</v>
      </c>
      <c r="J20" s="1697" t="str">
        <f>INDEX(TEMPLATE_DATA_POINT_FHD,B20,MATCH(TEMPLATE_SPHERE,TEMPLATE_SPHERE_LIST_FOR_NOTE,0))</f>
        <v>Расходы на приобретаемую тепловую энергию (мощность), теплоноситель</v>
      </c>
      <c r="K20" s="1697">
        <f>INDEX(TEMPLATE_NOTE_POINT_FHD,B20,MATCH(TEMPLATE_SPHERE,TEMPLATE_SPHERE_LIST_FOR_NOTE,0))</f>
        <v>0</v>
      </c>
      <c r="L20" s="1536" t="str">
        <f>IF(I20=0,"",I20)</f>
        <v>2.1</v>
      </c>
      <c r="M20" s="1536" t="str">
        <f>IF(J20=0,"",J20)</f>
        <v>Расходы на приобретаемую тепловую энергию (мощность), теплоноситель</v>
      </c>
      <c r="N20" s="1536" t="str">
        <f>IF(K20=0,"",K20)</f>
        <v/>
      </c>
      <c r="O20" s="1649" t="s">
        <v>782</v>
      </c>
      <c r="P20" s="1649" t="s">
        <v>782</v>
      </c>
      <c r="Q20" s="1649" t="s">
        <v>782</v>
      </c>
      <c r="R20" s="1649" t="s">
        <v>782</v>
      </c>
      <c r="S20" s="1649"/>
      <c r="T20" s="1656" t="s">
        <v>2126</v>
      </c>
      <c r="U20" s="1538" t="s">
        <v>2127</v>
      </c>
      <c r="V20" s="1538" t="s">
        <v>2128</v>
      </c>
      <c r="W20" s="1538" t="s">
        <v>2129</v>
      </c>
      <c r="X20" s="1535"/>
      <c r="Y20" s="1692"/>
      <c r="Z20" s="1538"/>
      <c r="AA20" s="1541"/>
      <c r="AB20" s="1538"/>
      <c r="AC20" s="1538"/>
      <c r="AD20" s="1538"/>
    </row>
    <row customHeight="1" ht="36">
      <c r="A21" s="1537"/>
      <c r="B21" s="1591">
        <v>4</v>
      </c>
      <c r="C21" s="1535">
        <v>2</v>
      </c>
      <c r="D21" s="1659"/>
      <c r="E21" s="1535"/>
      <c r="F21" s="1535"/>
      <c r="G21" s="1535"/>
      <c r="H21" s="1694"/>
      <c r="I21" s="1697" t="str">
        <f>INDEX(TEMPLATE_NUMBER_POINT_FHD,B21,MATCH(TEMPLATE_SPHERE,TEMPLATE_SPHERE_LIST_FOR_NOTE,0))</f>
        <v>2.2</v>
      </c>
      <c r="J21" s="1697"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697" t="str">
        <f>INDEX(TEMPLATE_NOTE_POINT_FHD,B21,MATCH(TEMPLATE_SPHERE,TEMPLATE_SPHERE_LIST_FOR_NOTE,0))</f>
        <v>Указываются суммарные расходы на приобретение топлива всех видов.</v>
      </c>
      <c r="L21" s="1536" t="str">
        <f>IF(I21=0,"",I21)</f>
        <v>2.2</v>
      </c>
      <c r="M21" s="1536"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536" t="str">
        <f>IF(K21=0,"",K21)</f>
        <v>Указываются суммарные расходы на приобретение топлива всех видов.</v>
      </c>
      <c r="O21" s="1649" t="s">
        <v>382</v>
      </c>
      <c r="P21" s="1649"/>
      <c r="Q21" s="1649"/>
      <c r="R21" s="1649"/>
      <c r="S21" s="1649"/>
      <c r="T21" s="1656" t="s">
        <v>2130</v>
      </c>
      <c r="U21" s="1538"/>
      <c r="V21" s="1538"/>
      <c r="W21" s="1538"/>
      <c r="X21" s="1535"/>
      <c r="Y21" s="1692"/>
      <c r="Z21" s="1538" t="s">
        <v>2131</v>
      </c>
      <c r="AA21" s="1541"/>
      <c r="AB21" s="1538"/>
      <c r="AC21" s="1538"/>
      <c r="AD21" s="1538"/>
    </row>
    <row customHeight="1" ht="36">
      <c r="A22" s="1537"/>
      <c r="B22" s="1591">
        <v>5</v>
      </c>
      <c r="C22" s="1535">
        <v>3</v>
      </c>
      <c r="D22" s="1659"/>
      <c r="E22" s="1535"/>
      <c r="F22" s="1535"/>
      <c r="G22" s="1583"/>
      <c r="H22" s="1650"/>
      <c r="I22" s="1697">
        <f>INDEX(TEMPLATE_NUMBER_POINT_FHD,B22,MATCH(TEMPLATE_SPHERE,TEMPLATE_SPHERE_LIST_FOR_NOTE,0))</f>
        <v>0</v>
      </c>
      <c r="J22" s="1697">
        <f>INDEX(TEMPLATE_DATA_POINT_FHD,B22,MATCH(TEMPLATE_SPHERE,TEMPLATE_SPHERE_LIST_FOR_NOTE,0))</f>
        <v>0</v>
      </c>
      <c r="K22" s="1697">
        <f>INDEX(TEMPLATE_NOTE_POINT_FHD,B22,MATCH(TEMPLATE_SPHERE,TEMPLATE_SPHERE_LIST_FOR_NOTE,0))</f>
        <v>0</v>
      </c>
      <c r="L22" s="1536" t="str">
        <f>IF(I22=0,"",I22)</f>
        <v/>
      </c>
      <c r="M22" s="1536" t="str">
        <f>IF(J22=0,"",J22)</f>
        <v/>
      </c>
      <c r="N22" s="1536" t="str">
        <f>IF(K22=0,"",K22)</f>
        <v/>
      </c>
      <c r="O22" s="1649"/>
      <c r="P22" s="1649"/>
      <c r="Q22" s="1649" t="s">
        <v>382</v>
      </c>
      <c r="R22" s="1649"/>
      <c r="S22" s="1649"/>
      <c r="T22" s="1656"/>
      <c r="U22" s="1538"/>
      <c r="V22" s="1538" t="s">
        <v>2132</v>
      </c>
      <c r="W22" s="1538"/>
      <c r="X22" s="1535"/>
      <c r="Y22" s="1692"/>
      <c r="Z22" s="1538"/>
      <c r="AA22" s="1541"/>
      <c r="AB22" s="1538"/>
      <c r="AC22" s="1538"/>
      <c r="AD22" s="1538"/>
    </row>
    <row customHeight="1" ht="27">
      <c r="A23" s="1537"/>
      <c r="B23" s="1591">
        <v>6</v>
      </c>
      <c r="C23" s="1535">
        <v>4</v>
      </c>
      <c r="D23" s="1659"/>
      <c r="E23" s="1535"/>
      <c r="F23" s="1535"/>
      <c r="G23" s="1583"/>
      <c r="H23" s="1650"/>
      <c r="I23" s="1697">
        <f>INDEX(TEMPLATE_NUMBER_POINT_FHD,B23,MATCH(TEMPLATE_SPHERE,TEMPLATE_SPHERE_LIST_FOR_NOTE,0))</f>
        <v>0</v>
      </c>
      <c r="J23" s="1697">
        <f>INDEX(TEMPLATE_DATA_POINT_FHD,B23,MATCH(TEMPLATE_SPHERE,TEMPLATE_SPHERE_LIST_FOR_NOTE,0))</f>
        <v>0</v>
      </c>
      <c r="K23" s="1697">
        <f>INDEX(TEMPLATE_NOTE_POINT_FHD,B23,MATCH(TEMPLATE_SPHERE,TEMPLATE_SPHERE_LIST_FOR_NOTE,0))</f>
        <v>0</v>
      </c>
      <c r="L23" s="1536" t="str">
        <f>IF(I23=0,"",I23)</f>
        <v/>
      </c>
      <c r="M23" s="1536" t="str">
        <f>IF(J23=0,"",J23)</f>
        <v/>
      </c>
      <c r="N23" s="1536" t="str">
        <f>IF(K23=0,"",K23)</f>
        <v/>
      </c>
      <c r="O23" s="1649"/>
      <c r="P23" s="1649"/>
      <c r="Q23" s="1649" t="s">
        <v>385</v>
      </c>
      <c r="R23" s="1649"/>
      <c r="S23" s="1649"/>
      <c r="T23" s="1656"/>
      <c r="U23" s="1538"/>
      <c r="V23" s="1538" t="s">
        <v>2133</v>
      </c>
      <c r="W23" s="1538"/>
      <c r="X23" s="1535"/>
      <c r="Y23" s="1692"/>
      <c r="Z23" s="1538"/>
      <c r="AA23" s="1541"/>
      <c r="AB23" s="1538"/>
      <c r="AC23" s="1538"/>
      <c r="AD23" s="1538"/>
    </row>
    <row customHeight="1" ht="36">
      <c r="A24" s="1537"/>
      <c r="B24" s="1591">
        <v>7</v>
      </c>
      <c r="C24" s="1535">
        <v>5</v>
      </c>
      <c r="D24" s="1659"/>
      <c r="E24" s="1535"/>
      <c r="F24" s="1535"/>
      <c r="G24" s="1583"/>
      <c r="H24" s="1650"/>
      <c r="I24" s="1697">
        <f>INDEX(TEMPLATE_NUMBER_POINT_FHD,B24,MATCH(TEMPLATE_SPHERE,TEMPLATE_SPHERE_LIST_FOR_NOTE,0))</f>
        <v>0</v>
      </c>
      <c r="J24" s="1697">
        <f>INDEX(TEMPLATE_DATA_POINT_FHD,B24,MATCH(TEMPLATE_SPHERE,TEMPLATE_SPHERE_LIST_FOR_NOTE,0))</f>
        <v>0</v>
      </c>
      <c r="K24" s="1697">
        <f>INDEX(TEMPLATE_NOTE_POINT_FHD,B24,MATCH(TEMPLATE_SPHERE,TEMPLATE_SPHERE_LIST_FOR_NOTE,0))</f>
        <v>0</v>
      </c>
      <c r="L24" s="1536" t="str">
        <f>IF(I24=0,"",I24)</f>
        <v/>
      </c>
      <c r="M24" s="1536" t="str">
        <f>IF(J24=0,"",J24)</f>
        <v/>
      </c>
      <c r="N24" s="1536" t="str">
        <f>IF(K24=0,"",K24)</f>
        <v/>
      </c>
      <c r="O24" s="1649"/>
      <c r="P24" s="1649"/>
      <c r="Q24" s="1649" t="s">
        <v>802</v>
      </c>
      <c r="R24" s="1649"/>
      <c r="S24" s="1649"/>
      <c r="T24" s="1656"/>
      <c r="U24" s="1538"/>
      <c r="V24" s="1538" t="s">
        <v>2134</v>
      </c>
      <c r="W24" s="1538"/>
      <c r="X24" s="1535"/>
      <c r="Y24" s="1692"/>
      <c r="Z24" s="1538"/>
      <c r="AA24" s="1541"/>
      <c r="AB24" s="1538"/>
      <c r="AC24" s="1538"/>
      <c r="AD24" s="1538"/>
    </row>
    <row customHeight="1" ht="36">
      <c r="A25" s="1537"/>
      <c r="B25" s="1591">
        <v>8</v>
      </c>
      <c r="C25" s="1535">
        <v>6</v>
      </c>
      <c r="D25" s="1659"/>
      <c r="E25" s="1535"/>
      <c r="F25" s="1535"/>
      <c r="G25" s="1583"/>
      <c r="H25" s="1650"/>
      <c r="I25" s="1697" t="str">
        <f>INDEX(TEMPLATE_NUMBER_POINT_FHD,B25,MATCH(TEMPLATE_SPHERE,TEMPLATE_SPHERE_LIST_FOR_NOTE,0))</f>
        <v>2.3</v>
      </c>
      <c r="J25" s="1697"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697">
        <f>INDEX(TEMPLATE_NOTE_POINT_FHD,B25,MATCH(TEMPLATE_SPHERE,TEMPLATE_SPHERE_LIST_FOR_NOTE,0))</f>
        <v>0</v>
      </c>
      <c r="L25" s="1536" t="str">
        <f>IF(I25=0,"",I25)</f>
        <v>2.3</v>
      </c>
      <c r="M25" s="1536" t="str">
        <f>IF(J25=0,"",J25)</f>
        <v>Расходы на приобретаемую электрическую энергию (мощность), используемую в технологическом процессе</v>
      </c>
      <c r="N25" s="1536" t="str">
        <f>IF(K25=0,"",K25)</f>
        <v/>
      </c>
      <c r="O25" s="1649" t="s">
        <v>385</v>
      </c>
      <c r="P25" s="1649" t="s">
        <v>382</v>
      </c>
      <c r="Q25" s="1649" t="s">
        <v>809</v>
      </c>
      <c r="R25" s="1649" t="s">
        <v>382</v>
      </c>
      <c r="S25" s="1649"/>
      <c r="T25" s="1656" t="s">
        <v>2135</v>
      </c>
      <c r="U25" s="1538" t="s">
        <v>2135</v>
      </c>
      <c r="V25" s="1538" t="s">
        <v>2135</v>
      </c>
      <c r="W25" s="1538" t="s">
        <v>2135</v>
      </c>
      <c r="X25" s="1535"/>
      <c r="Y25" s="1692"/>
      <c r="Z25" s="1538"/>
      <c r="AA25" s="1541"/>
      <c r="AB25" s="1538"/>
      <c r="AC25" s="1538"/>
      <c r="AD25" s="1538"/>
    </row>
    <row customHeight="1" ht="18">
      <c r="A26" s="1537"/>
      <c r="B26" s="1591">
        <v>9</v>
      </c>
      <c r="C26" s="1535" t="s">
        <v>726</v>
      </c>
      <c r="D26" s="1659"/>
      <c r="E26" s="1535"/>
      <c r="F26" s="1535"/>
      <c r="G26" s="1583"/>
      <c r="H26" s="1650"/>
      <c r="I26" s="1697" t="str">
        <f>INDEX(TEMPLATE_NUMBER_POINT_FHD,B26,MATCH(TEMPLATE_SPHERE,TEMPLATE_SPHERE_LIST_FOR_NOTE,0))</f>
        <v>2.3.1</v>
      </c>
      <c r="J26" s="1697" t="str">
        <f>INDEX(TEMPLATE_DATA_POINT_FHD,B26,MATCH(TEMPLATE_SPHERE,TEMPLATE_SPHERE_LIST_FOR_NOTE,0))</f>
        <v>Средневзвешенная стоимость 1 кВт.ч (с учетом мощности)</v>
      </c>
      <c r="K26" s="1697">
        <f>INDEX(TEMPLATE_NOTE_POINT_FHD,B26,MATCH(TEMPLATE_SPHERE,TEMPLATE_SPHERE_LIST_FOR_NOTE,0))</f>
        <v>0</v>
      </c>
      <c r="L26" s="1536" t="str">
        <f>IF(I26=0,"",I26)</f>
        <v>2.3.1</v>
      </c>
      <c r="M26" s="1536" t="str">
        <f>IF(J26=0,"",J26)</f>
        <v>Средневзвешенная стоимость 1 кВт.ч (с учетом мощности)</v>
      </c>
      <c r="N26" s="1536" t="str">
        <f>IF(K26=0,"",K26)</f>
        <v/>
      </c>
      <c r="O26" s="1649" t="s">
        <v>798</v>
      </c>
      <c r="P26" s="1649" t="s">
        <v>792</v>
      </c>
      <c r="Q26" s="1649" t="s">
        <v>2136</v>
      </c>
      <c r="R26" s="1649" t="s">
        <v>792</v>
      </c>
      <c r="S26" s="1649"/>
      <c r="T26" s="1656" t="str">
        <f>"Средневзвешенная стоимость 1 кВт.ч"&amp;IF(TITLE_TYPE_ORG="Регулируемая организация"," (с учетом мощности)","")</f>
        <v>Средневзвешенная стоимость 1 кВт.ч (с учетом мощности)</v>
      </c>
      <c r="U26" s="1656" t="s">
        <v>2137</v>
      </c>
      <c r="V26" s="1656" t="s">
        <v>2137</v>
      </c>
      <c r="W26" s="1656" t="s">
        <v>2137</v>
      </c>
      <c r="X26" s="1535"/>
      <c r="Y26" s="1692"/>
      <c r="Z26" s="1538"/>
      <c r="AA26" s="1541"/>
      <c r="AB26" s="1538"/>
      <c r="AC26" s="1538"/>
      <c r="AD26" s="1538"/>
    </row>
    <row customHeight="1" ht="18">
      <c r="A27" s="1537"/>
      <c r="B27" s="1591">
        <v>10</v>
      </c>
      <c r="C27" s="1535" t="s">
        <v>730</v>
      </c>
      <c r="D27" s="1659"/>
      <c r="E27" s="1535"/>
      <c r="F27" s="1535"/>
      <c r="G27" s="1583"/>
      <c r="H27" s="1650"/>
      <c r="I27" s="1697" t="str">
        <f>INDEX(TEMPLATE_NUMBER_POINT_FHD,B27,MATCH(TEMPLATE_SPHERE,TEMPLATE_SPHERE_LIST_FOR_NOTE,0))</f>
        <v>2.3.2</v>
      </c>
      <c r="J27" s="1697" t="str">
        <f>INDEX(TEMPLATE_DATA_POINT_FHD,B27,MATCH(TEMPLATE_SPHERE,TEMPLATE_SPHERE_LIST_FOR_NOTE,0))</f>
        <v>Объём приобретения электрической энергии</v>
      </c>
      <c r="K27" s="1697">
        <f>INDEX(TEMPLATE_NOTE_POINT_FHD,B27,MATCH(TEMPLATE_SPHERE,TEMPLATE_SPHERE_LIST_FOR_NOTE,0))</f>
        <v>0</v>
      </c>
      <c r="L27" s="1536" t="str">
        <f>IF(I27=0,"",I27)</f>
        <v>2.3.2</v>
      </c>
      <c r="M27" s="1536" t="str">
        <f>IF(J27=0,"",J27)</f>
        <v>Объём приобретения электрической энергии</v>
      </c>
      <c r="N27" s="1536" t="str">
        <f>IF(K27=0,"",K27)</f>
        <v/>
      </c>
      <c r="O27" s="1649" t="s">
        <v>800</v>
      </c>
      <c r="P27" s="1649" t="s">
        <v>794</v>
      </c>
      <c r="Q27" s="1649" t="s">
        <v>2138</v>
      </c>
      <c r="R27" s="1649" t="s">
        <v>794</v>
      </c>
      <c r="S27" s="1649"/>
      <c r="T27" s="1656" t="s">
        <v>2139</v>
      </c>
      <c r="U27" s="1656" t="s">
        <v>2139</v>
      </c>
      <c r="V27" s="1656" t="s">
        <v>2139</v>
      </c>
      <c r="W27" s="1656" t="s">
        <v>2139</v>
      </c>
      <c r="X27" s="1535"/>
      <c r="Y27" s="1692"/>
      <c r="Z27" s="1538"/>
      <c r="AA27" s="1541"/>
      <c r="AB27" s="1538"/>
      <c r="AC27" s="1538"/>
      <c r="AD27" s="1538"/>
    </row>
    <row customHeight="1" ht="27">
      <c r="A28" s="1537"/>
      <c r="B28" s="1591">
        <v>11</v>
      </c>
      <c r="C28" s="1535">
        <v>7</v>
      </c>
      <c r="D28" s="1659"/>
      <c r="E28" s="1535"/>
      <c r="F28" s="1535"/>
      <c r="G28" s="1583"/>
      <c r="H28" s="1650"/>
      <c r="I28" s="1697" t="str">
        <f>INDEX(TEMPLATE_NUMBER_POINT_FHD,B28,MATCH(TEMPLATE_SPHERE,TEMPLATE_SPHERE_LIST_FOR_NOTE,0))</f>
        <v>2.4</v>
      </c>
      <c r="J28" s="1697" t="str">
        <f>INDEX(TEMPLATE_DATA_POINT_FHD,B28,MATCH(TEMPLATE_SPHERE,TEMPLATE_SPHERE_LIST_FOR_NOTE,0))</f>
        <v>Расходы на приобретение холодной воды, используемой в технологическом процессе</v>
      </c>
      <c r="K28" s="1697">
        <f>INDEX(TEMPLATE_NOTE_POINT_FHD,B28,MATCH(TEMPLATE_SPHERE,TEMPLATE_SPHERE_LIST_FOR_NOTE,0))</f>
        <v>0</v>
      </c>
      <c r="L28" s="1536" t="str">
        <f>IF(I28=0,"",I28)</f>
        <v>2.4</v>
      </c>
      <c r="M28" s="1536" t="str">
        <f>IF(J28=0,"",J28)</f>
        <v>Расходы на приобретение холодной воды, используемой в технологическом процессе</v>
      </c>
      <c r="N28" s="1536" t="str">
        <f>IF(K28=0,"",K28)</f>
        <v/>
      </c>
      <c r="O28" s="1649" t="s">
        <v>802</v>
      </c>
      <c r="P28" s="1649"/>
      <c r="Q28" s="1649"/>
      <c r="R28" s="1649"/>
      <c r="S28" s="1649"/>
      <c r="T28" s="1656" t="s">
        <v>2140</v>
      </c>
      <c r="U28" s="1538"/>
      <c r="V28" s="1538"/>
      <c r="W28" s="1538"/>
      <c r="X28" s="1535"/>
      <c r="Y28" s="1692"/>
      <c r="Z28" s="1538"/>
      <c r="AA28" s="1541"/>
      <c r="AB28" s="1538"/>
      <c r="AC28" s="1538"/>
      <c r="AD28" s="1538"/>
    </row>
    <row customHeight="1" ht="27">
      <c r="A29" s="1537"/>
      <c r="B29" s="1591">
        <v>12</v>
      </c>
      <c r="C29" s="1535">
        <v>8</v>
      </c>
      <c r="D29" s="1659"/>
      <c r="E29" s="1535"/>
      <c r="F29" s="1535"/>
      <c r="G29" s="1583"/>
      <c r="H29" s="1650"/>
      <c r="I29" s="1697" t="str">
        <f>INDEX(TEMPLATE_NUMBER_POINT_FHD,B29,MATCH(TEMPLATE_SPHERE,TEMPLATE_SPHERE_LIST_FOR_NOTE,0))</f>
        <v>2.5</v>
      </c>
      <c r="J29" s="1697" t="str">
        <f>INDEX(TEMPLATE_DATA_POINT_FHD,B29,MATCH(TEMPLATE_SPHERE,TEMPLATE_SPHERE_LIST_FOR_NOTE,0))</f>
        <v>Расходы на  химические реагенты, используемые в технологическом процессе</v>
      </c>
      <c r="K29" s="1697">
        <f>INDEX(TEMPLATE_NOTE_POINT_FHD,B29,MATCH(TEMPLATE_SPHERE,TEMPLATE_SPHERE_LIST_FOR_NOTE,0))</f>
        <v>0</v>
      </c>
      <c r="L29" s="1536" t="str">
        <f>IF(I29=0,"",I29)</f>
        <v>2.5</v>
      </c>
      <c r="M29" s="1536" t="str">
        <f>IF(J29=0,"",J29)</f>
        <v>Расходы на  химические реагенты, используемые в технологическом процессе</v>
      </c>
      <c r="N29" s="1536" t="str">
        <f>IF(K29=0,"",K29)</f>
        <v/>
      </c>
      <c r="O29" s="1649" t="s">
        <v>809</v>
      </c>
      <c r="P29" s="1649" t="s">
        <v>385</v>
      </c>
      <c r="Q29" s="1649"/>
      <c r="R29" s="1649" t="s">
        <v>385</v>
      </c>
      <c r="S29" s="1649"/>
      <c r="T29" s="1656"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538" t="s">
        <v>2141</v>
      </c>
      <c r="V29" s="1538"/>
      <c r="W29" s="1538" t="s">
        <v>2141</v>
      </c>
      <c r="X29" s="1535"/>
      <c r="Y29" s="1692"/>
      <c r="Z29" s="1538"/>
      <c r="AA29" s="1541"/>
      <c r="AB29" s="1538"/>
      <c r="AC29" s="1538"/>
      <c r="AD29" s="1538"/>
    </row>
    <row customHeight="1" ht="54">
      <c r="A30" s="1537"/>
      <c r="B30" s="1591">
        <v>13</v>
      </c>
      <c r="C30" s="1535">
        <v>9</v>
      </c>
      <c r="D30" s="1659"/>
      <c r="E30" s="1535"/>
      <c r="F30" s="1535"/>
      <c r="G30" s="1583"/>
      <c r="H30" s="1650"/>
      <c r="I30" s="1697" t="str">
        <f>INDEX(TEMPLATE_NUMBER_POINT_FHD,B30,MATCH(TEMPLATE_SPHERE,TEMPLATE_SPHERE_LIST_FOR_NOTE,0))</f>
        <v>2.6</v>
      </c>
      <c r="J30" s="1697"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697">
        <f>INDEX(TEMPLATE_NOTE_POINT_FHD,B30,MATCH(TEMPLATE_SPHERE,TEMPLATE_SPHERE_LIST_FOR_NOTE,0))</f>
        <v>0</v>
      </c>
      <c r="L30" s="1536" t="str">
        <f>IF(I30=0,"",I30)</f>
        <v>2.6</v>
      </c>
      <c r="M30" s="153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536" t="str">
        <f>IF(K30=0,"",K30)</f>
        <v/>
      </c>
      <c r="O30" s="1649" t="s">
        <v>811</v>
      </c>
      <c r="P30" s="1649" t="s">
        <v>802</v>
      </c>
      <c r="Q30" s="1649" t="s">
        <v>811</v>
      </c>
      <c r="R30" s="1649" t="s">
        <v>802</v>
      </c>
      <c r="S30" s="1649"/>
      <c r="T30" s="1656" t="s">
        <v>2142</v>
      </c>
      <c r="U30" s="1538" t="s">
        <v>2142</v>
      </c>
      <c r="V30" s="1538" t="s">
        <v>2142</v>
      </c>
      <c r="W30" s="1538" t="s">
        <v>2142</v>
      </c>
      <c r="X30" s="1535"/>
      <c r="Y30" s="1692"/>
      <c r="Z30" s="1538"/>
      <c r="AA30" s="1541" t="s">
        <v>2143</v>
      </c>
      <c r="AB30" s="1541" t="s">
        <v>2143</v>
      </c>
      <c r="AC30" s="1541" t="s">
        <v>2143</v>
      </c>
      <c r="AD30" s="1538"/>
    </row>
    <row customHeight="1" ht="18">
      <c r="A31" s="1537"/>
      <c r="B31" s="1591">
        <v>14</v>
      </c>
      <c r="C31" s="1535" t="s">
        <v>2144</v>
      </c>
      <c r="D31" s="1659"/>
      <c r="E31" s="1535"/>
      <c r="F31" s="1535"/>
      <c r="G31" s="1583"/>
      <c r="H31" s="1650"/>
      <c r="I31" s="1697" t="str">
        <f>INDEX(TEMPLATE_NUMBER_POINT_FHD,B31,MATCH(TEMPLATE_SPHERE,TEMPLATE_SPHERE_LIST_FOR_NOTE,0))</f>
        <v>2.6.1</v>
      </c>
      <c r="J31" s="1697" t="str">
        <f>INDEX(TEMPLATE_DATA_POINT_FHD,B31,MATCH(TEMPLATE_SPHERE,TEMPLATE_SPHERE_LIST_FOR_NOTE,0))</f>
        <v>Расходы на оплату труда основного производственного персонала</v>
      </c>
      <c r="K31" s="1697">
        <f>INDEX(TEMPLATE_NOTE_POINT_FHD,B31,MATCH(TEMPLATE_SPHERE,TEMPLATE_SPHERE_LIST_FOR_NOTE,0))</f>
        <v>0</v>
      </c>
      <c r="L31" s="1536" t="str">
        <f>IF(I31=0,"",I31)</f>
        <v>2.6.1</v>
      </c>
      <c r="M31" s="1536" t="str">
        <f>IF(J31=0,"",J31)</f>
        <v>Расходы на оплату труда основного производственного персонала</v>
      </c>
      <c r="N31" s="1536" t="str">
        <f>IF(K31=0,"",K31)</f>
        <v/>
      </c>
      <c r="O31" s="1649" t="s">
        <v>2145</v>
      </c>
      <c r="P31" s="1649" t="s">
        <v>805</v>
      </c>
      <c r="Q31" s="1649" t="s">
        <v>2145</v>
      </c>
      <c r="R31" s="1649" t="s">
        <v>805</v>
      </c>
      <c r="S31" s="1649"/>
      <c r="T31" s="1657" t="s">
        <v>2146</v>
      </c>
      <c r="U31" s="1538" t="s">
        <v>2146</v>
      </c>
      <c r="V31" s="1538" t="s">
        <v>2146</v>
      </c>
      <c r="W31" s="1538" t="s">
        <v>2146</v>
      </c>
      <c r="X31" s="1535"/>
      <c r="Y31" s="1692"/>
      <c r="Z31" s="1538"/>
      <c r="AA31" s="1541"/>
      <c r="AB31" s="1541"/>
      <c r="AC31" s="1541"/>
      <c r="AD31" s="1538"/>
    </row>
    <row customHeight="1" ht="36">
      <c r="A32" s="1537"/>
      <c r="B32" s="1591">
        <v>15</v>
      </c>
      <c r="C32" s="1535" t="s">
        <v>2147</v>
      </c>
      <c r="D32" s="1659"/>
      <c r="E32" s="1535"/>
      <c r="F32" s="1535"/>
      <c r="G32" s="1583"/>
      <c r="H32" s="1650"/>
      <c r="I32" s="1697" t="str">
        <f>INDEX(TEMPLATE_NUMBER_POINT_FHD,B32,MATCH(TEMPLATE_SPHERE,TEMPLATE_SPHERE_LIST_FOR_NOTE,0))</f>
        <v>2.6.2</v>
      </c>
      <c r="J32" s="1697"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697">
        <f>INDEX(TEMPLATE_NOTE_POINT_FHD,B32,MATCH(TEMPLATE_SPHERE,TEMPLATE_SPHERE_LIST_FOR_NOTE,0))</f>
        <v>0</v>
      </c>
      <c r="L32" s="1536" t="str">
        <f>IF(I32=0,"",I32)</f>
        <v>2.6.2</v>
      </c>
      <c r="M32" s="1536" t="str">
        <f>IF(J32=0,"",J32)</f>
        <v>Страховые взносы на обязательное социальное страхование, выплачиваемые из фонда оплаты труда основного производственного персонала</v>
      </c>
      <c r="N32" s="1536" t="str">
        <f>IF(K32=0,"",K32)</f>
        <v/>
      </c>
      <c r="O32" s="1649" t="s">
        <v>2148</v>
      </c>
      <c r="P32" s="1649" t="s">
        <v>807</v>
      </c>
      <c r="Q32" s="1649" t="s">
        <v>2148</v>
      </c>
      <c r="R32" s="1649" t="s">
        <v>807</v>
      </c>
      <c r="S32" s="1649"/>
      <c r="T32" s="165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538" t="s">
        <v>2149</v>
      </c>
      <c r="V32" s="1538" t="s">
        <v>2149</v>
      </c>
      <c r="W32" s="1538" t="s">
        <v>2149</v>
      </c>
      <c r="X32" s="1535"/>
      <c r="Y32" s="1692"/>
      <c r="Z32" s="1538"/>
      <c r="AA32" s="1541"/>
      <c r="AB32" s="1541"/>
      <c r="AC32" s="1541"/>
      <c r="AD32" s="1538"/>
    </row>
    <row customHeight="1" ht="45">
      <c r="A33" s="1537"/>
      <c r="B33" s="1591">
        <v>16</v>
      </c>
      <c r="C33" s="1535">
        <v>10</v>
      </c>
      <c r="D33" s="1659"/>
      <c r="E33" s="1535"/>
      <c r="F33" s="1535"/>
      <c r="G33" s="1583"/>
      <c r="H33" s="1650"/>
      <c r="I33" s="1697" t="str">
        <f>INDEX(TEMPLATE_NUMBER_POINT_FHD,B33,MATCH(TEMPLATE_SPHERE,TEMPLATE_SPHERE_LIST_FOR_NOTE,0))</f>
        <v>2.7</v>
      </c>
      <c r="J33" s="1697"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697">
        <f>INDEX(TEMPLATE_NOTE_POINT_FHD,B33,MATCH(TEMPLATE_SPHERE,TEMPLATE_SPHERE_LIST_FOR_NOTE,0))</f>
        <v>0</v>
      </c>
      <c r="L33" s="1536" t="str">
        <f>IF(I33=0,"",I33)</f>
        <v>2.7</v>
      </c>
      <c r="M33" s="153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536" t="str">
        <f>IF(K33=0,"",K33)</f>
        <v/>
      </c>
      <c r="O33" s="1649" t="s">
        <v>813</v>
      </c>
      <c r="P33" s="1649" t="s">
        <v>809</v>
      </c>
      <c r="Q33" s="1649" t="s">
        <v>813</v>
      </c>
      <c r="R33" s="1649" t="s">
        <v>809</v>
      </c>
      <c r="S33" s="1649"/>
      <c r="T33" s="165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538" t="s">
        <v>2150</v>
      </c>
      <c r="V33" s="1538" t="s">
        <v>2150</v>
      </c>
      <c r="W33" s="1538" t="s">
        <v>2151</v>
      </c>
      <c r="X33" s="1535"/>
      <c r="Y33" s="1692"/>
      <c r="Z33" s="1538"/>
      <c r="AA33" s="1541" t="s">
        <v>2152</v>
      </c>
      <c r="AB33" s="1541" t="s">
        <v>2152</v>
      </c>
      <c r="AC33" s="1541" t="s">
        <v>2152</v>
      </c>
      <c r="AD33" s="1538"/>
    </row>
    <row customHeight="1" ht="27">
      <c r="A34" s="1537"/>
      <c r="B34" s="1591">
        <v>17</v>
      </c>
      <c r="C34" s="1535" t="s">
        <v>2153</v>
      </c>
      <c r="D34" s="1659"/>
      <c r="E34" s="1535"/>
      <c r="F34" s="1535"/>
      <c r="G34" s="1583"/>
      <c r="H34" s="1650"/>
      <c r="I34" s="1697" t="str">
        <f>INDEX(TEMPLATE_NUMBER_POINT_FHD,B34,MATCH(TEMPLATE_SPHERE,TEMPLATE_SPHERE_LIST_FOR_NOTE,0))</f>
        <v>2.7.1</v>
      </c>
      <c r="J34" s="1697" t="str">
        <f>INDEX(TEMPLATE_DATA_POINT_FHD,B34,MATCH(TEMPLATE_SPHERE,TEMPLATE_SPHERE_LIST_FOR_NOTE,0))</f>
        <v>Расходы на оплату труда административно-управленческого персонала</v>
      </c>
      <c r="K34" s="1697">
        <f>INDEX(TEMPLATE_NOTE_POINT_FHD,B34,MATCH(TEMPLATE_SPHERE,TEMPLATE_SPHERE_LIST_FOR_NOTE,0))</f>
        <v>0</v>
      </c>
      <c r="L34" s="1536" t="str">
        <f>IF(I34=0,"",I34)</f>
        <v>2.7.1</v>
      </c>
      <c r="M34" s="1536" t="str">
        <f>IF(J34=0,"",J34)</f>
        <v>Расходы на оплату труда административно-управленческого персонала</v>
      </c>
      <c r="N34" s="1536" t="str">
        <f>IF(K34=0,"",K34)</f>
        <v/>
      </c>
      <c r="O34" s="1649" t="s">
        <v>2154</v>
      </c>
      <c r="P34" s="1649" t="s">
        <v>2136</v>
      </c>
      <c r="Q34" s="1649" t="s">
        <v>2154</v>
      </c>
      <c r="R34" s="1649" t="s">
        <v>2136</v>
      </c>
      <c r="S34" s="1649"/>
      <c r="T34" s="1658" t="s">
        <v>2155</v>
      </c>
      <c r="U34" s="1538" t="s">
        <v>2155</v>
      </c>
      <c r="V34" s="1538" t="s">
        <v>2155</v>
      </c>
      <c r="W34" s="1538" t="s">
        <v>2156</v>
      </c>
      <c r="X34" s="1535"/>
      <c r="Y34" s="1692"/>
      <c r="Z34" s="1538"/>
      <c r="AA34" s="1541"/>
      <c r="AB34" s="1538"/>
      <c r="AC34" s="1538"/>
      <c r="AD34" s="1538"/>
    </row>
    <row customHeight="1" ht="45">
      <c r="A35" s="1537"/>
      <c r="B35" s="1591">
        <v>18</v>
      </c>
      <c r="C35" s="1535" t="s">
        <v>2157</v>
      </c>
      <c r="D35" s="1659"/>
      <c r="E35" s="1535"/>
      <c r="F35" s="1535"/>
      <c r="G35" s="1583"/>
      <c r="H35" s="1650"/>
      <c r="I35" s="1697" t="str">
        <f>INDEX(TEMPLATE_NUMBER_POINT_FHD,B35,MATCH(TEMPLATE_SPHERE,TEMPLATE_SPHERE_LIST_FOR_NOTE,0))</f>
        <v>2.7.2</v>
      </c>
      <c r="J35" s="1697"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697">
        <f>INDEX(TEMPLATE_NOTE_POINT_FHD,B35,MATCH(TEMPLATE_SPHERE,TEMPLATE_SPHERE_LIST_FOR_NOTE,0))</f>
        <v>0</v>
      </c>
      <c r="L35" s="1536" t="str">
        <f>IF(I35=0,"",I35)</f>
        <v>2.7.2</v>
      </c>
      <c r="M35" s="153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536" t="str">
        <f>IF(K35=0,"",K35)</f>
        <v/>
      </c>
      <c r="O35" s="1649" t="s">
        <v>2158</v>
      </c>
      <c r="P35" s="1649" t="s">
        <v>2138</v>
      </c>
      <c r="Q35" s="1649" t="s">
        <v>2158</v>
      </c>
      <c r="R35" s="1649" t="s">
        <v>2138</v>
      </c>
      <c r="S35" s="1649"/>
      <c r="T35" s="1656"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538" t="s">
        <v>2159</v>
      </c>
      <c r="V35" s="1538" t="s">
        <v>2159</v>
      </c>
      <c r="W35" s="1538" t="s">
        <v>2159</v>
      </c>
      <c r="X35" s="1535"/>
      <c r="Y35" s="1692"/>
      <c r="Z35" s="1538"/>
      <c r="AA35" s="1541"/>
      <c r="AB35" s="1538"/>
      <c r="AC35" s="1538"/>
      <c r="AD35" s="1538"/>
    </row>
    <row customHeight="1" ht="18">
      <c r="A36" s="1537"/>
      <c r="B36" s="1591">
        <v>19</v>
      </c>
      <c r="C36" s="1535">
        <v>11</v>
      </c>
      <c r="D36" s="1659"/>
      <c r="E36" s="1535"/>
      <c r="F36" s="1535"/>
      <c r="G36" s="1583"/>
      <c r="H36" s="1650"/>
      <c r="I36" s="1697" t="str">
        <f>INDEX(TEMPLATE_NUMBER_POINT_FHD,B36,MATCH(TEMPLATE_SPHERE,TEMPLATE_SPHERE_LIST_FOR_NOTE,0))</f>
        <v>2.8</v>
      </c>
      <c r="J36" s="1697" t="str">
        <f>INDEX(TEMPLATE_DATA_POINT_FHD,B36,MATCH(TEMPLATE_SPHERE,TEMPLATE_SPHERE_LIST_FOR_NOTE,0))</f>
        <v>Расходы на амортизацию основных средств и нематериальных активов</v>
      </c>
      <c r="K36" s="1697">
        <f>INDEX(TEMPLATE_NOTE_POINT_FHD,B36,MATCH(TEMPLATE_SPHERE,TEMPLATE_SPHERE_LIST_FOR_NOTE,0))</f>
        <v>0</v>
      </c>
      <c r="L36" s="1536" t="str">
        <f>IF(I36=0,"",I36)</f>
        <v>2.8</v>
      </c>
      <c r="M36" s="1536" t="str">
        <f>IF(J36=0,"",J36)</f>
        <v>Расходы на амортизацию основных средств и нематериальных активов</v>
      </c>
      <c r="N36" s="1536" t="str">
        <f>IF(K36=0,"",K36)</f>
        <v/>
      </c>
      <c r="O36" s="1649" t="s">
        <v>815</v>
      </c>
      <c r="P36" s="1649" t="s">
        <v>811</v>
      </c>
      <c r="Q36" s="1649" t="s">
        <v>815</v>
      </c>
      <c r="R36" s="1649" t="s">
        <v>811</v>
      </c>
      <c r="S36" s="1649"/>
      <c r="T36" s="1656" t="s">
        <v>2160</v>
      </c>
      <c r="U36" s="1538" t="s">
        <v>2160</v>
      </c>
      <c r="V36" s="1538" t="s">
        <v>2160</v>
      </c>
      <c r="W36" s="1538" t="s">
        <v>2160</v>
      </c>
      <c r="X36" s="1535"/>
      <c r="Y36" s="1692"/>
      <c r="Z36" s="1538"/>
      <c r="AA36" s="1541"/>
      <c r="AB36" s="1538"/>
      <c r="AC36" s="1538"/>
      <c r="AD36" s="1538"/>
    </row>
    <row customHeight="1" ht="18">
      <c r="A37" s="1537"/>
      <c r="B37" s="1591">
        <v>20</v>
      </c>
      <c r="C37" s="1535" t="s">
        <v>2161</v>
      </c>
      <c r="D37" s="1659"/>
      <c r="E37" s="1535"/>
      <c r="F37" s="1535"/>
      <c r="G37" s="1583"/>
      <c r="H37" s="1650"/>
      <c r="I37" s="1697" t="str">
        <f>INDEX(TEMPLATE_NUMBER_POINT_FHD,B37,MATCH(TEMPLATE_SPHERE,TEMPLATE_SPHERE_LIST_FOR_NOTE,0))</f>
        <v>2.8.1</v>
      </c>
      <c r="J37" s="1697" t="str">
        <f>INDEX(TEMPLATE_DATA_POINT_FHD,B37,MATCH(TEMPLATE_SPHERE,TEMPLATE_SPHERE_LIST_FOR_NOTE,0))</f>
        <v>Расходы на амортизацию основных средств</v>
      </c>
      <c r="K37" s="1697">
        <f>INDEX(TEMPLATE_NOTE_POINT_FHD,B37,MATCH(TEMPLATE_SPHERE,TEMPLATE_SPHERE_LIST_FOR_NOTE,0))</f>
        <v>0</v>
      </c>
      <c r="L37" s="1536" t="str">
        <f>IF(I37=0,"",I37)</f>
        <v>2.8.1</v>
      </c>
      <c r="M37" s="1536" t="str">
        <f>IF(J37=0,"",J37)</f>
        <v>Расходы на амортизацию основных средств</v>
      </c>
      <c r="N37" s="1536" t="str">
        <f>IF(K37=0,"",K37)</f>
        <v/>
      </c>
      <c r="O37" s="1649" t="s">
        <v>2162</v>
      </c>
      <c r="P37" s="1649" t="s">
        <v>2145</v>
      </c>
      <c r="Q37" s="1649" t="s">
        <v>2162</v>
      </c>
      <c r="R37" s="1649" t="s">
        <v>2145</v>
      </c>
      <c r="S37" s="1649"/>
      <c r="T37" s="1656" t="s">
        <v>2163</v>
      </c>
      <c r="U37" s="1538" t="s">
        <v>2163</v>
      </c>
      <c r="V37" s="1538" t="s">
        <v>2163</v>
      </c>
      <c r="W37" s="1538" t="s">
        <v>2163</v>
      </c>
      <c r="X37" s="1535"/>
      <c r="Y37" s="1692"/>
      <c r="Z37" s="1538"/>
      <c r="AA37" s="1541"/>
      <c r="AB37" s="1538"/>
      <c r="AC37" s="1538"/>
      <c r="AD37" s="1538"/>
    </row>
    <row customHeight="1" ht="18">
      <c r="A38" s="1537"/>
      <c r="B38" s="1591">
        <v>21</v>
      </c>
      <c r="C38" s="1535" t="s">
        <v>2164</v>
      </c>
      <c r="D38" s="1659"/>
      <c r="E38" s="1535"/>
      <c r="F38" s="1535"/>
      <c r="G38" s="1583"/>
      <c r="H38" s="1650"/>
      <c r="I38" s="1697" t="str">
        <f>INDEX(TEMPLATE_NUMBER_POINT_FHD,B38,MATCH(TEMPLATE_SPHERE,TEMPLATE_SPHERE_LIST_FOR_NOTE,0))</f>
        <v>2.8.2</v>
      </c>
      <c r="J38" s="1697" t="str">
        <f>INDEX(TEMPLATE_DATA_POINT_FHD,B38,MATCH(TEMPLATE_SPHERE,TEMPLATE_SPHERE_LIST_FOR_NOTE,0))</f>
        <v>Расходы на амортизацию нематериальных активов</v>
      </c>
      <c r="K38" s="1697">
        <f>INDEX(TEMPLATE_NOTE_POINT_FHD,B38,MATCH(TEMPLATE_SPHERE,TEMPLATE_SPHERE_LIST_FOR_NOTE,0))</f>
        <v>0</v>
      </c>
      <c r="L38" s="1536" t="str">
        <f>IF(I38=0,"",I38)</f>
        <v>2.8.2</v>
      </c>
      <c r="M38" s="1536" t="str">
        <f>IF(J38=0,"",J38)</f>
        <v>Расходы на амортизацию нематериальных активов</v>
      </c>
      <c r="N38" s="1536" t="str">
        <f>IF(K38=0,"",K38)</f>
        <v/>
      </c>
      <c r="O38" s="1649" t="s">
        <v>2165</v>
      </c>
      <c r="P38" s="1649" t="s">
        <v>2148</v>
      </c>
      <c r="Q38" s="1649" t="s">
        <v>2165</v>
      </c>
      <c r="R38" s="1649" t="s">
        <v>2148</v>
      </c>
      <c r="S38" s="1649"/>
      <c r="T38" s="1656" t="s">
        <v>2166</v>
      </c>
      <c r="U38" s="1538" t="s">
        <v>2166</v>
      </c>
      <c r="V38" s="1538" t="s">
        <v>2166</v>
      </c>
      <c r="W38" s="1538" t="s">
        <v>2166</v>
      </c>
      <c r="X38" s="1535"/>
      <c r="Y38" s="1692"/>
      <c r="Z38" s="1538"/>
      <c r="AA38" s="1541"/>
      <c r="AB38" s="1538"/>
      <c r="AC38" s="1538"/>
      <c r="AD38" s="1538"/>
    </row>
    <row customHeight="1" ht="36">
      <c r="A39" s="1537"/>
      <c r="B39" s="1591">
        <v>22</v>
      </c>
      <c r="C39" s="1535">
        <v>12</v>
      </c>
      <c r="D39" s="1659"/>
      <c r="E39" s="1535"/>
      <c r="F39" s="1535"/>
      <c r="G39" s="1583"/>
      <c r="H39" s="1650"/>
      <c r="I39" s="1697" t="str">
        <f>INDEX(TEMPLATE_NUMBER_POINT_FHD,B39,MATCH(TEMPLATE_SPHERE,TEMPLATE_SPHERE_LIST_FOR_NOTE,0))</f>
        <v>2.9</v>
      </c>
      <c r="J39" s="1697" t="str">
        <f>INDEX(TEMPLATE_DATA_POINT_FHD,B39,MATCH(TEMPLATE_SPHERE,TEMPLATE_SPHERE_LIST_FOR_NOTE,0))</f>
        <v>Расходы на аренду имущества, используемого для осуществления регулируемого вида деятельности</v>
      </c>
      <c r="K39" s="1697">
        <f>INDEX(TEMPLATE_NOTE_POINT_FHD,B39,MATCH(TEMPLATE_SPHERE,TEMPLATE_SPHERE_LIST_FOR_NOTE,0))</f>
        <v>0</v>
      </c>
      <c r="L39" s="1536" t="str">
        <f>IF(I39=0,"",I39)</f>
        <v>2.9</v>
      </c>
      <c r="M39" s="1536" t="str">
        <f>IF(J39=0,"",J39)</f>
        <v>Расходы на аренду имущества, используемого для осуществления регулируемого вида деятельности</v>
      </c>
      <c r="N39" s="1536" t="str">
        <f>IF(K39=0,"",K39)</f>
        <v/>
      </c>
      <c r="O39" s="1649" t="s">
        <v>819</v>
      </c>
      <c r="P39" s="1649" t="s">
        <v>813</v>
      </c>
      <c r="Q39" s="1649" t="s">
        <v>819</v>
      </c>
      <c r="R39" s="1649" t="s">
        <v>813</v>
      </c>
      <c r="S39" s="1649"/>
      <c r="T39" s="1656" t="s">
        <v>2167</v>
      </c>
      <c r="U39" s="1538" t="s">
        <v>2168</v>
      </c>
      <c r="V39" s="1538" t="s">
        <v>2169</v>
      </c>
      <c r="W39" s="1538" t="s">
        <v>2170</v>
      </c>
      <c r="X39" s="1535"/>
      <c r="Y39" s="1692"/>
      <c r="Z39" s="1538"/>
      <c r="AA39" s="1541"/>
      <c r="AB39" s="1538"/>
      <c r="AC39" s="1538"/>
      <c r="AD39" s="1538"/>
    </row>
    <row customHeight="1" ht="18">
      <c r="A40" s="1537"/>
      <c r="B40" s="1591">
        <v>23</v>
      </c>
      <c r="C40" s="1535">
        <v>13</v>
      </c>
      <c r="D40" s="1659"/>
      <c r="E40" s="1535"/>
      <c r="F40" s="1535"/>
      <c r="G40" s="1535"/>
      <c r="H40" s="1586"/>
      <c r="I40" s="1697" t="str">
        <f>INDEX(TEMPLATE_NUMBER_POINT_FHD,B40,MATCH(TEMPLATE_SPHERE,TEMPLATE_SPHERE_LIST_FOR_NOTE,0))</f>
        <v>2.10</v>
      </c>
      <c r="J40" s="1697" t="str">
        <f>INDEX(TEMPLATE_DATA_POINT_FHD,B40,MATCH(TEMPLATE_SPHERE,TEMPLATE_SPHERE_LIST_FOR_NOTE,0))</f>
        <v>Общепроизводственные расходы, в том числе:</v>
      </c>
      <c r="K40" s="1697" t="str">
        <f>INDEX(TEMPLATE_NOTE_POINT_FHD,B40,MATCH(TEMPLATE_SPHERE,TEMPLATE_SPHERE_LIST_FOR_NOTE,0))</f>
        <v>Указывается общая сумма общепроизводственных расходов.</v>
      </c>
      <c r="L40" s="1536" t="str">
        <f>IF(I40=0,"",I40)</f>
        <v>2.10</v>
      </c>
      <c r="M40" s="1536" t="str">
        <f>IF(J40=0,"",J40)</f>
        <v>Общепроизводственные расходы, в том числе:</v>
      </c>
      <c r="N40" s="1536" t="str">
        <f>IF(K40=0,"",K40)</f>
        <v>Указывается общая сумма общепроизводственных расходов.</v>
      </c>
      <c r="O40" s="1649" t="s">
        <v>2171</v>
      </c>
      <c r="P40" s="1649" t="s">
        <v>815</v>
      </c>
      <c r="Q40" s="1649" t="s">
        <v>2171</v>
      </c>
      <c r="R40" s="1649" t="s">
        <v>815</v>
      </c>
      <c r="S40" s="1649"/>
      <c r="T40" s="1535" t="s">
        <v>2172</v>
      </c>
      <c r="U40" s="1535" t="s">
        <v>2172</v>
      </c>
      <c r="V40" s="1535" t="s">
        <v>2172</v>
      </c>
      <c r="W40" s="1535" t="s">
        <v>2172</v>
      </c>
      <c r="X40" s="1535"/>
      <c r="Y40" s="1692"/>
      <c r="Z40" s="1538" t="s">
        <v>2173</v>
      </c>
      <c r="AA40" s="1541" t="s">
        <v>2173</v>
      </c>
      <c r="AB40" s="1541" t="s">
        <v>2173</v>
      </c>
      <c r="AC40" s="1541" t="s">
        <v>2173</v>
      </c>
      <c r="AD40" s="1538"/>
    </row>
    <row customHeight="1" ht="27">
      <c r="A41" s="1537"/>
      <c r="B41" s="1591">
        <v>24</v>
      </c>
      <c r="C41" s="1535" t="s">
        <v>2174</v>
      </c>
      <c r="D41" s="1659"/>
      <c r="E41" s="1535"/>
      <c r="F41" s="1535"/>
      <c r="G41" s="1535"/>
      <c r="H41" s="1583"/>
      <c r="I41" s="1697" t="str">
        <f>INDEX(TEMPLATE_NUMBER_POINT_FHD,B41,MATCH(TEMPLATE_SPHERE,TEMPLATE_SPHERE_LIST_FOR_NOTE,0))</f>
        <v>2.10.1</v>
      </c>
      <c r="J41" s="1697" t="str">
        <f>INDEX(TEMPLATE_DATA_POINT_FHD,B41,MATCH(TEMPLATE_SPHERE,TEMPLATE_SPHERE_LIST_FOR_NOTE,0))</f>
        <v>Расходы на текущий ремонт</v>
      </c>
      <c r="K41" s="1697" t="str">
        <f>INDEX(TEMPLATE_NOTE_POINT_FHD,B41,MATCH(TEMPLATE_SPHERE,TEMPLATE_SPHERE_LIST_FOR_NOTE,0))</f>
        <v>Указываются расходы на текущий ремонт, отнесенные к общепроизводственным расходам.</v>
      </c>
      <c r="L41" s="1536" t="str">
        <f>IF(I41=0,"",I41)</f>
        <v>2.10.1</v>
      </c>
      <c r="M41" s="1536" t="str">
        <f>IF(J41=0,"",J41)</f>
        <v>Расходы на текущий ремонт</v>
      </c>
      <c r="N41" s="1536" t="str">
        <f>IF(K41=0,"",K41)</f>
        <v>Указываются расходы на текущий ремонт, отнесенные к общепроизводственным расходам.</v>
      </c>
      <c r="O41" s="1649" t="s">
        <v>2175</v>
      </c>
      <c r="P41" s="1649" t="s">
        <v>2162</v>
      </c>
      <c r="Q41" s="1649" t="s">
        <v>2175</v>
      </c>
      <c r="R41" s="1649" t="s">
        <v>2162</v>
      </c>
      <c r="S41" s="1649"/>
      <c r="T41" s="1535" t="s">
        <v>2176</v>
      </c>
      <c r="U41" s="1535" t="s">
        <v>2176</v>
      </c>
      <c r="V41" s="1535" t="s">
        <v>2176</v>
      </c>
      <c r="W41" s="1535" t="s">
        <v>2176</v>
      </c>
      <c r="X41" s="1535"/>
      <c r="Y41" s="1692"/>
      <c r="Z41" s="1538" t="s">
        <v>2177</v>
      </c>
      <c r="AA41" s="1538" t="s">
        <v>2177</v>
      </c>
      <c r="AB41" s="1538" t="s">
        <v>2177</v>
      </c>
      <c r="AC41" s="1538" t="s">
        <v>2177</v>
      </c>
      <c r="AD41" s="1538"/>
    </row>
    <row customHeight="1" ht="27">
      <c r="A42" s="1537"/>
      <c r="B42" s="1591">
        <v>25</v>
      </c>
      <c r="C42" s="1535" t="s">
        <v>2178</v>
      </c>
      <c r="D42" s="1659"/>
      <c r="E42" s="1535"/>
      <c r="F42" s="1535"/>
      <c r="G42" s="1535"/>
      <c r="H42" s="1583"/>
      <c r="I42" s="1697" t="str">
        <f>INDEX(TEMPLATE_NUMBER_POINT_FHD,B42,MATCH(TEMPLATE_SPHERE,TEMPLATE_SPHERE_LIST_FOR_NOTE,0))</f>
        <v>2.10.2</v>
      </c>
      <c r="J42" s="1697" t="str">
        <f>INDEX(TEMPLATE_DATA_POINT_FHD,B42,MATCH(TEMPLATE_SPHERE,TEMPLATE_SPHERE_LIST_FOR_NOTE,0))</f>
        <v>Расходы на капитальный ремонт</v>
      </c>
      <c r="K42" s="1697" t="str">
        <f>INDEX(TEMPLATE_NOTE_POINT_FHD,B42,MATCH(TEMPLATE_SPHERE,TEMPLATE_SPHERE_LIST_FOR_NOTE,0))</f>
        <v>Указываются расходы на капитальный ремонт, отнесенные к общепроизводственным расходам.</v>
      </c>
      <c r="L42" s="1536" t="str">
        <f>IF(I42=0,"",I42)</f>
        <v>2.10.2</v>
      </c>
      <c r="M42" s="1536" t="str">
        <f>IF(J42=0,"",J42)</f>
        <v>Расходы на капитальный ремонт</v>
      </c>
      <c r="N42" s="1536" t="str">
        <f>IF(K42=0,"",K42)</f>
        <v>Указываются расходы на капитальный ремонт, отнесенные к общепроизводственным расходам.</v>
      </c>
      <c r="O42" s="1649" t="s">
        <v>2179</v>
      </c>
      <c r="P42" s="1649" t="s">
        <v>2165</v>
      </c>
      <c r="Q42" s="1649" t="s">
        <v>2179</v>
      </c>
      <c r="R42" s="1649" t="s">
        <v>2165</v>
      </c>
      <c r="S42" s="1649"/>
      <c r="T42" s="1535" t="s">
        <v>2180</v>
      </c>
      <c r="U42" s="1535" t="s">
        <v>2180</v>
      </c>
      <c r="V42" s="1535" t="s">
        <v>2180</v>
      </c>
      <c r="W42" s="1535" t="s">
        <v>2180</v>
      </c>
      <c r="X42" s="1535"/>
      <c r="Y42" s="1692"/>
      <c r="Z42" s="1538" t="s">
        <v>2181</v>
      </c>
      <c r="AA42" s="1538" t="s">
        <v>2181</v>
      </c>
      <c r="AB42" s="1538" t="s">
        <v>2181</v>
      </c>
      <c r="AC42" s="1538" t="s">
        <v>2181</v>
      </c>
      <c r="AD42" s="1538"/>
    </row>
    <row customHeight="1" ht="18">
      <c r="A43" s="1537"/>
      <c r="B43" s="1591">
        <v>26</v>
      </c>
      <c r="C43" s="1535">
        <v>14</v>
      </c>
      <c r="D43" s="1659"/>
      <c r="E43" s="1535"/>
      <c r="F43" s="1535"/>
      <c r="G43" s="1535"/>
      <c r="H43" s="1583"/>
      <c r="I43" s="1697" t="str">
        <f>INDEX(TEMPLATE_NUMBER_POINT_FHD,B43,MATCH(TEMPLATE_SPHERE,TEMPLATE_SPHERE_LIST_FOR_NOTE,0))</f>
        <v>2.11</v>
      </c>
      <c r="J43" s="1697" t="str">
        <f>INDEX(TEMPLATE_DATA_POINT_FHD,B43,MATCH(TEMPLATE_SPHERE,TEMPLATE_SPHERE_LIST_FOR_NOTE,0))</f>
        <v>Общехозяйственные расходы, в том числе:</v>
      </c>
      <c r="K43" s="1697" t="str">
        <f>INDEX(TEMPLATE_NOTE_POINT_FHD,B43,MATCH(TEMPLATE_SPHERE,TEMPLATE_SPHERE_LIST_FOR_NOTE,0))</f>
        <v>Указывается общая сумма общехозяйственных расходов.</v>
      </c>
      <c r="L43" s="1536" t="str">
        <f>IF(I43=0,"",I43)</f>
        <v>2.11</v>
      </c>
      <c r="M43" s="1536" t="str">
        <f>IF(J43=0,"",J43)</f>
        <v>Общехозяйственные расходы, в том числе:</v>
      </c>
      <c r="N43" s="1536" t="str">
        <f>IF(K43=0,"",K43)</f>
        <v>Указывается общая сумма общехозяйственных расходов.</v>
      </c>
      <c r="O43" s="1649" t="s">
        <v>2182</v>
      </c>
      <c r="P43" s="1649" t="s">
        <v>819</v>
      </c>
      <c r="Q43" s="1649" t="s">
        <v>2182</v>
      </c>
      <c r="R43" s="1649" t="s">
        <v>819</v>
      </c>
      <c r="S43" s="1649"/>
      <c r="T43" s="1535" t="s">
        <v>2183</v>
      </c>
      <c r="U43" s="1535" t="s">
        <v>2183</v>
      </c>
      <c r="V43" s="1535" t="s">
        <v>2183</v>
      </c>
      <c r="W43" s="1535" t="s">
        <v>2183</v>
      </c>
      <c r="X43" s="1535"/>
      <c r="Y43" s="1692"/>
      <c r="Z43" s="1538" t="s">
        <v>2184</v>
      </c>
      <c r="AA43" s="1538" t="s">
        <v>2184</v>
      </c>
      <c r="AB43" s="1538" t="s">
        <v>2184</v>
      </c>
      <c r="AC43" s="1538" t="s">
        <v>2184</v>
      </c>
      <c r="AD43" s="1538"/>
    </row>
    <row customHeight="1" ht="27">
      <c r="A44" s="1537"/>
      <c r="B44" s="1591">
        <v>27</v>
      </c>
      <c r="C44" s="1535" t="s">
        <v>2185</v>
      </c>
      <c r="D44" s="1659"/>
      <c r="E44" s="1535"/>
      <c r="F44" s="1535"/>
      <c r="G44" s="1535"/>
      <c r="H44" s="1583"/>
      <c r="I44" s="1697" t="str">
        <f>INDEX(TEMPLATE_NUMBER_POINT_FHD,B44,MATCH(TEMPLATE_SPHERE,TEMPLATE_SPHERE_LIST_FOR_NOTE,0))</f>
        <v>2.11.1</v>
      </c>
      <c r="J44" s="1697" t="str">
        <f>INDEX(TEMPLATE_DATA_POINT_FHD,B44,MATCH(TEMPLATE_SPHERE,TEMPLATE_SPHERE_LIST_FOR_NOTE,0))</f>
        <v>Расходы на текущий ремонт</v>
      </c>
      <c r="K44" s="1697" t="str">
        <f>INDEX(TEMPLATE_NOTE_POINT_FHD,B44,MATCH(TEMPLATE_SPHERE,TEMPLATE_SPHERE_LIST_FOR_NOTE,0))</f>
        <v>Указываются расходы на текущий ремонт, отнесенные к общехозяйственным расходам.</v>
      </c>
      <c r="L44" s="1536" t="str">
        <f>IF(I44=0,"",I44)</f>
        <v>2.11.1</v>
      </c>
      <c r="M44" s="1536" t="str">
        <f>IF(J44=0,"",J44)</f>
        <v>Расходы на текущий ремонт</v>
      </c>
      <c r="N44" s="1536" t="str">
        <f>IF(K44=0,"",K44)</f>
        <v>Указываются расходы на текущий ремонт, отнесенные к общехозяйственным расходам.</v>
      </c>
      <c r="O44" s="1649" t="s">
        <v>2186</v>
      </c>
      <c r="P44" s="1649" t="s">
        <v>2187</v>
      </c>
      <c r="Q44" s="1649" t="s">
        <v>2186</v>
      </c>
      <c r="R44" s="1649" t="s">
        <v>2187</v>
      </c>
      <c r="S44" s="1649"/>
      <c r="T44" s="1535" t="s">
        <v>2176</v>
      </c>
      <c r="U44" s="1535" t="s">
        <v>2176</v>
      </c>
      <c r="V44" s="1535" t="s">
        <v>2176</v>
      </c>
      <c r="W44" s="1535" t="s">
        <v>2176</v>
      </c>
      <c r="X44" s="1535"/>
      <c r="Y44" s="1692"/>
      <c r="Z44" s="1538" t="s">
        <v>2188</v>
      </c>
      <c r="AA44" s="1538" t="s">
        <v>2188</v>
      </c>
      <c r="AB44" s="1538" t="s">
        <v>2188</v>
      </c>
      <c r="AC44" s="1538" t="s">
        <v>2188</v>
      </c>
      <c r="AD44" s="1538"/>
    </row>
    <row customHeight="1" ht="27">
      <c r="A45" s="1537"/>
      <c r="B45" s="1591">
        <v>28</v>
      </c>
      <c r="C45" s="1535" t="s">
        <v>2189</v>
      </c>
      <c r="D45" s="1659"/>
      <c r="E45" s="1535"/>
      <c r="F45" s="1535"/>
      <c r="G45" s="1535"/>
      <c r="H45" s="1583"/>
      <c r="I45" s="1697" t="str">
        <f>INDEX(TEMPLATE_NUMBER_POINT_FHD,B45,MATCH(TEMPLATE_SPHERE,TEMPLATE_SPHERE_LIST_FOR_NOTE,0))</f>
        <v>2.11.2</v>
      </c>
      <c r="J45" s="1697" t="str">
        <f>INDEX(TEMPLATE_DATA_POINT_FHD,B45,MATCH(TEMPLATE_SPHERE,TEMPLATE_SPHERE_LIST_FOR_NOTE,0))</f>
        <v>Расходы на капитальный ремонт</v>
      </c>
      <c r="K45" s="1697" t="str">
        <f>INDEX(TEMPLATE_NOTE_POINT_FHD,B45,MATCH(TEMPLATE_SPHERE,TEMPLATE_SPHERE_LIST_FOR_NOTE,0))</f>
        <v>Указываются расходы на капитальный ремонт, отнесенные к общехозяйственным расходам.</v>
      </c>
      <c r="L45" s="1536" t="str">
        <f>IF(I45=0,"",I45)</f>
        <v>2.11.2</v>
      </c>
      <c r="M45" s="1536" t="str">
        <f>IF(J45=0,"",J45)</f>
        <v>Расходы на капитальный ремонт</v>
      </c>
      <c r="N45" s="1536" t="str">
        <f>IF(K45=0,"",K45)</f>
        <v>Указываются расходы на капитальный ремонт, отнесенные к общехозяйственным расходам.</v>
      </c>
      <c r="O45" s="1649" t="s">
        <v>2190</v>
      </c>
      <c r="P45" s="1649" t="s">
        <v>2191</v>
      </c>
      <c r="Q45" s="1649" t="s">
        <v>2190</v>
      </c>
      <c r="R45" s="1649" t="s">
        <v>2191</v>
      </c>
      <c r="S45" s="1649"/>
      <c r="T45" s="1535" t="s">
        <v>2180</v>
      </c>
      <c r="U45" s="1535" t="s">
        <v>2180</v>
      </c>
      <c r="V45" s="1535" t="s">
        <v>2180</v>
      </c>
      <c r="W45" s="1535" t="s">
        <v>2180</v>
      </c>
      <c r="X45" s="1535"/>
      <c r="Y45" s="1692"/>
      <c r="Z45" s="1538" t="s">
        <v>2192</v>
      </c>
      <c r="AA45" s="1538" t="s">
        <v>2192</v>
      </c>
      <c r="AB45" s="1538" t="s">
        <v>2192</v>
      </c>
      <c r="AC45" s="1538" t="s">
        <v>2192</v>
      </c>
      <c r="AD45" s="1538"/>
    </row>
    <row customHeight="1" ht="54">
      <c r="A46" s="1537"/>
      <c r="B46" s="1591">
        <v>29</v>
      </c>
      <c r="C46" s="1535">
        <v>15</v>
      </c>
      <c r="D46" s="1659"/>
      <c r="E46" s="1535"/>
      <c r="F46" s="1535"/>
      <c r="G46" s="1535"/>
      <c r="H46" s="1583"/>
      <c r="I46" s="1697" t="str">
        <f>INDEX(TEMPLATE_NUMBER_POINT_FHD,B46,MATCH(TEMPLATE_SPHERE,TEMPLATE_SPHERE_LIST_FOR_NOTE,0))</f>
        <v>2.12</v>
      </c>
      <c r="J46" s="1697" t="str">
        <f>INDEX(TEMPLATE_DATA_POINT_FHD,B46,MATCH(TEMPLATE_SPHERE,TEMPLATE_SPHERE_LIST_FOR_NOTE,0))</f>
        <v>Расходы на капитальный и текущий ремонт основных средств</v>
      </c>
      <c r="K46" s="1697"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536" t="str">
        <f>IF(I46=0,"",I46)</f>
        <v>2.12</v>
      </c>
      <c r="M46" s="1536" t="str">
        <f>IF(J46=0,"",J46)</f>
        <v>Расходы на капитальный и текущий ремонт основных средств</v>
      </c>
      <c r="N46" s="1536"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649" t="s">
        <v>2193</v>
      </c>
      <c r="P46" s="1649" t="s">
        <v>2171</v>
      </c>
      <c r="Q46" s="1649" t="s">
        <v>2193</v>
      </c>
      <c r="R46" s="1649" t="s">
        <v>2171</v>
      </c>
      <c r="S46" s="1649"/>
      <c r="T46" s="153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535" t="s">
        <v>2194</v>
      </c>
      <c r="V46" s="1535" t="s">
        <v>2194</v>
      </c>
      <c r="W46" s="1535" t="s">
        <v>2194</v>
      </c>
      <c r="X46" s="1535"/>
      <c r="Y46" s="1692"/>
      <c r="Z46" s="1538" t="s">
        <v>2195</v>
      </c>
      <c r="AA46" s="1538" t="s">
        <v>2196</v>
      </c>
      <c r="AB46" s="1538" t="s">
        <v>2196</v>
      </c>
      <c r="AC46" s="1538" t="s">
        <v>2196</v>
      </c>
      <c r="AD46" s="1538"/>
    </row>
    <row customHeight="1" ht="54">
      <c r="A47" s="1537"/>
      <c r="B47" s="1591">
        <v>30</v>
      </c>
      <c r="C47" s="1535" t="s">
        <v>2197</v>
      </c>
      <c r="D47" s="1659"/>
      <c r="E47" s="1535"/>
      <c r="F47" s="1535"/>
      <c r="G47" s="1535"/>
      <c r="H47" s="1583"/>
      <c r="I47" s="1697" t="str">
        <f>INDEX(TEMPLATE_NUMBER_POINT_FHD,B47,MATCH(TEMPLATE_SPHERE,TEMPLATE_SPHERE_LIST_FOR_NOTE,0))</f>
        <v>2.12.1</v>
      </c>
      <c r="J47" s="1697"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697">
        <f>INDEX(TEMPLATE_NOTE_POINT_FHD,B47,MATCH(TEMPLATE_SPHERE,TEMPLATE_SPHERE_LIST_FOR_NOTE,0))</f>
        <v>0</v>
      </c>
      <c r="L47" s="1536" t="str">
        <f>IF(I47=0,"",I47)</f>
        <v>2.12.1</v>
      </c>
      <c r="M47" s="153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536" t="str">
        <f>IF(K47=0,"",K47)</f>
        <v/>
      </c>
      <c r="O47" s="1649" t="s">
        <v>2198</v>
      </c>
      <c r="P47" s="1649" t="s">
        <v>2175</v>
      </c>
      <c r="Q47" s="1649" t="s">
        <v>2198</v>
      </c>
      <c r="R47" s="1649" t="s">
        <v>2175</v>
      </c>
      <c r="S47" s="1649"/>
      <c r="T47" s="1535" t="s">
        <v>2199</v>
      </c>
      <c r="U47" s="1535" t="s">
        <v>2199</v>
      </c>
      <c r="V47" s="1535" t="s">
        <v>2199</v>
      </c>
      <c r="W47" s="1535" t="s">
        <v>2199</v>
      </c>
      <c r="X47" s="1535"/>
      <c r="Y47" s="1692"/>
      <c r="Z47" s="1538"/>
      <c r="AA47" s="1541"/>
      <c r="AB47" s="1541"/>
      <c r="AC47" s="1541"/>
      <c r="AD47" s="1538"/>
    </row>
    <row customHeight="1" ht="54">
      <c r="A48" s="1537"/>
      <c r="B48" s="1591">
        <v>31</v>
      </c>
      <c r="C48" s="1535">
        <v>16</v>
      </c>
      <c r="D48" s="1659"/>
      <c r="E48" s="1535"/>
      <c r="F48" s="1535"/>
      <c r="G48" s="1535"/>
      <c r="H48" s="1583"/>
      <c r="I48" s="1697">
        <f>INDEX(TEMPLATE_NUMBER_POINT_FHD,B48,MATCH(TEMPLATE_SPHERE,TEMPLATE_SPHERE_LIST_FOR_NOTE,0))</f>
        <v>0</v>
      </c>
      <c r="J48" s="1697">
        <f>INDEX(TEMPLATE_DATA_POINT_FHD,B48,MATCH(TEMPLATE_SPHERE,TEMPLATE_SPHERE_LIST_FOR_NOTE,0))</f>
        <v>0</v>
      </c>
      <c r="K48" s="1697">
        <f>INDEX(TEMPLATE_NOTE_POINT_FHD,B48,MATCH(TEMPLATE_SPHERE,TEMPLATE_SPHERE_LIST_FOR_NOTE,0))</f>
        <v>0</v>
      </c>
      <c r="L48" s="1536" t="str">
        <f>IF(I48=0,"",I48)</f>
        <v/>
      </c>
      <c r="M48" s="1536" t="str">
        <f>IF(J48=0,"",J48)</f>
        <v/>
      </c>
      <c r="N48" s="1536" t="str">
        <f>IF(K48=0,"",K48)</f>
        <v/>
      </c>
      <c r="O48" s="1649"/>
      <c r="P48" s="1649" t="s">
        <v>2182</v>
      </c>
      <c r="Q48" s="1649" t="s">
        <v>2200</v>
      </c>
      <c r="R48" s="1649" t="s">
        <v>2182</v>
      </c>
      <c r="S48" s="1649"/>
      <c r="T48" s="1535"/>
      <c r="U48" s="1535" t="s">
        <v>2201</v>
      </c>
      <c r="V48" s="1535" t="s">
        <v>2202</v>
      </c>
      <c r="W48" s="1535" t="s">
        <v>2202</v>
      </c>
      <c r="X48" s="1535"/>
      <c r="Y48" s="1692"/>
      <c r="Z48" s="1538"/>
      <c r="AA48" s="1541" t="s">
        <v>2196</v>
      </c>
      <c r="AB48" s="1541" t="s">
        <v>2196</v>
      </c>
      <c r="AC48" s="1541" t="s">
        <v>2196</v>
      </c>
      <c r="AD48" s="1538"/>
    </row>
    <row customHeight="1" ht="54">
      <c r="A49" s="1537"/>
      <c r="B49" s="1591">
        <v>32</v>
      </c>
      <c r="C49" s="1535" t="s">
        <v>2203</v>
      </c>
      <c r="D49" s="1659"/>
      <c r="E49" s="1535"/>
      <c r="F49" s="1535"/>
      <c r="G49" s="1535"/>
      <c r="H49" s="1583"/>
      <c r="I49" s="1697">
        <f>INDEX(TEMPLATE_NUMBER_POINT_FHD,B49,MATCH(TEMPLATE_SPHERE,TEMPLATE_SPHERE_LIST_FOR_NOTE,0))</f>
        <v>0</v>
      </c>
      <c r="J49" s="1697">
        <f>INDEX(TEMPLATE_DATA_POINT_FHD,B49,MATCH(TEMPLATE_SPHERE,TEMPLATE_SPHERE_LIST_FOR_NOTE,0))</f>
        <v>0</v>
      </c>
      <c r="K49" s="1697">
        <f>INDEX(TEMPLATE_NOTE_POINT_FHD,B49,MATCH(TEMPLATE_SPHERE,TEMPLATE_SPHERE_LIST_FOR_NOTE,0))</f>
        <v>0</v>
      </c>
      <c r="L49" s="1536" t="str">
        <f>IF(I49=0,"",I49)</f>
        <v/>
      </c>
      <c r="M49" s="1536" t="str">
        <f>IF(J49=0,"",J49)</f>
        <v/>
      </c>
      <c r="N49" s="1536" t="str">
        <f>IF(K49=0,"",K49)</f>
        <v/>
      </c>
      <c r="O49" s="1649"/>
      <c r="P49" s="1649" t="s">
        <v>2186</v>
      </c>
      <c r="Q49" s="1649" t="s">
        <v>2204</v>
      </c>
      <c r="R49" s="1649" t="s">
        <v>2186</v>
      </c>
      <c r="S49" s="1649"/>
      <c r="T49" s="1535"/>
      <c r="U49" s="1535" t="s">
        <v>2199</v>
      </c>
      <c r="V49" s="1535" t="s">
        <v>2199</v>
      </c>
      <c r="W49" s="1535" t="s">
        <v>2199</v>
      </c>
      <c r="X49" s="1535"/>
      <c r="Y49" s="1692"/>
      <c r="Z49" s="1538"/>
      <c r="AA49" s="1541"/>
      <c r="AB49" s="1541"/>
      <c r="AC49" s="1541"/>
      <c r="AD49" s="1538"/>
    </row>
    <row customHeight="1" ht="126">
      <c r="A50" s="1537"/>
      <c r="B50" s="1591">
        <v>33</v>
      </c>
      <c r="C50" s="1535">
        <v>17</v>
      </c>
      <c r="D50" s="1659"/>
      <c r="E50" s="1535"/>
      <c r="F50" s="1535"/>
      <c r="G50" s="1535"/>
      <c r="H50" s="1583"/>
      <c r="I50" s="1697" t="str">
        <f>INDEX(TEMPLATE_NUMBER_POINT_FHD,B50,MATCH(TEMPLATE_SPHERE,TEMPLATE_SPHERE_LIST_FOR_NOTE,0))</f>
        <v>2.13</v>
      </c>
      <c r="J50" s="1697"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697"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536" t="str">
        <f>IF(I50=0,"",I50)</f>
        <v>2.13</v>
      </c>
      <c r="M50" s="1536"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536"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649" t="s">
        <v>2200</v>
      </c>
      <c r="P50" s="1649" t="s">
        <v>2193</v>
      </c>
      <c r="Q50" s="1649" t="s">
        <v>2205</v>
      </c>
      <c r="R50" s="1649" t="s">
        <v>2193</v>
      </c>
      <c r="S50" s="1649"/>
      <c r="T50" s="1535" t="s">
        <v>2206</v>
      </c>
      <c r="U50" s="1535" t="s">
        <v>2207</v>
      </c>
      <c r="V50" s="1535" t="s">
        <v>2208</v>
      </c>
      <c r="W50" s="1535" t="s">
        <v>2209</v>
      </c>
      <c r="X50" s="1535"/>
      <c r="Y50" s="1692"/>
      <c r="Z50" s="1538" t="s">
        <v>2210</v>
      </c>
      <c r="AA50" s="1541" t="s">
        <v>2211</v>
      </c>
      <c r="AB50" s="1541" t="s">
        <v>2211</v>
      </c>
      <c r="AC50" s="1541" t="s">
        <v>2211</v>
      </c>
      <c r="AD50" s="1538"/>
    </row>
    <row customHeight="1" ht="27">
      <c r="A51" s="1537"/>
      <c r="B51" s="1591">
        <v>34</v>
      </c>
      <c r="C51" s="1535" t="s">
        <v>2212</v>
      </c>
      <c r="D51" s="1659"/>
      <c r="E51" s="1535"/>
      <c r="F51" s="1535"/>
      <c r="G51" s="1535"/>
      <c r="H51" s="1583"/>
      <c r="I51" s="1697" t="str">
        <f>INDEX(TEMPLATE_NUMBER_POINT_FHD,B51,MATCH(TEMPLATE_SPHERE,TEMPLATE_SPHERE_LIST_FOR_NOTE,0))</f>
        <v>3</v>
      </c>
      <c r="J51" s="1697"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697">
        <f>INDEX(TEMPLATE_NOTE_POINT_FHD,B51,MATCH(TEMPLATE_SPHERE,TEMPLATE_SPHERE_LIST_FOR_NOTE,0))</f>
        <v>0</v>
      </c>
      <c r="L51" s="1536" t="str">
        <f>IF(I51=0,"",I51)</f>
        <v>3</v>
      </c>
      <c r="M51" s="1536" t="str">
        <f>IF(J51=0,"",J51)</f>
        <v>Валовая прибыль (убытки) от реализации товаров и оказания услуг по регулируемому виду деятельности</v>
      </c>
      <c r="N51" s="1536" t="str">
        <f>IF(K51=0,"",K51)</f>
        <v/>
      </c>
      <c r="O51" s="1649" t="s">
        <v>91</v>
      </c>
      <c r="P51" s="1649"/>
      <c r="Q51" s="1649"/>
      <c r="R51" s="1649"/>
      <c r="S51" s="1649"/>
      <c r="T51" s="1535" t="s">
        <v>2213</v>
      </c>
      <c r="U51" s="1535"/>
      <c r="V51" s="1535"/>
      <c r="W51" s="1535"/>
      <c r="X51" s="1535"/>
      <c r="Y51" s="1692"/>
      <c r="Z51" s="1538"/>
      <c r="AA51" s="1541"/>
      <c r="AB51" s="1541"/>
      <c r="AC51" s="1541"/>
      <c r="AD51" s="1538"/>
    </row>
    <row customHeight="1" ht="36">
      <c r="A52" s="1537"/>
      <c r="B52" s="1591">
        <v>35</v>
      </c>
      <c r="C52" s="1535" t="s">
        <v>2106</v>
      </c>
      <c r="D52" s="1659" t="s">
        <v>2106</v>
      </c>
      <c r="E52" s="1535" t="s">
        <v>2106</v>
      </c>
      <c r="F52" s="1535" t="s">
        <v>2106</v>
      </c>
      <c r="G52" s="1535"/>
      <c r="H52" s="1583"/>
      <c r="I52" s="1697" t="str">
        <f>INDEX(TEMPLATE_NUMBER_POINT_FHD,B52,MATCH(TEMPLATE_SPHERE,TEMPLATE_SPHERE_LIST_FOR_NOTE,0))</f>
        <v>4</v>
      </c>
      <c r="J52" s="1697" t="str">
        <f>INDEX(TEMPLATE_DATA_POINT_FHD,B52,MATCH(TEMPLATE_SPHERE,TEMPLATE_SPHERE_LIST_FOR_NOTE,0))</f>
        <v>Чистая прибыль, полученная от регулируемого вида деятельности, в том числе:</v>
      </c>
      <c r="K52" s="1697" t="str">
        <f>INDEX(TEMPLATE_NOTE_POINT_FHD,B52,MATCH(TEMPLATE_SPHERE,TEMPLATE_SPHERE_LIST_FOR_NOTE,0))</f>
        <v>Указывается общая сумма чистой прибыли, полученной от регулируемого вида деятельности.</v>
      </c>
      <c r="L52" s="1536" t="str">
        <f>IF(I52=0,"",I52)</f>
        <v>4</v>
      </c>
      <c r="M52" s="1536" t="str">
        <f>IF(J52=0,"",J52)</f>
        <v>Чистая прибыль, полученная от регулируемого вида деятельности, в том числе:</v>
      </c>
      <c r="N52" s="1536" t="str">
        <f>IF(K52=0,"",K52)</f>
        <v>Указывается общая сумма чистой прибыли, полученной от регулируемого вида деятельности.</v>
      </c>
      <c r="O52" s="1649" t="s">
        <v>92</v>
      </c>
      <c r="P52" s="1649" t="s">
        <v>91</v>
      </c>
      <c r="Q52" s="1649" t="s">
        <v>91</v>
      </c>
      <c r="R52" s="1649" t="s">
        <v>91</v>
      </c>
      <c r="S52" s="1649"/>
      <c r="T52" s="1535" t="s">
        <v>2214</v>
      </c>
      <c r="U52" s="1535" t="s">
        <v>2215</v>
      </c>
      <c r="V52" s="1535" t="s">
        <v>2216</v>
      </c>
      <c r="W52" s="1535" t="s">
        <v>2217</v>
      </c>
      <c r="X52" s="1535"/>
      <c r="Y52" s="1692"/>
      <c r="Z52" s="1538" t="s">
        <v>823</v>
      </c>
      <c r="AA52" s="1541" t="s">
        <v>823</v>
      </c>
      <c r="AB52" s="1541" t="s">
        <v>823</v>
      </c>
      <c r="AC52" s="1541" t="s">
        <v>823</v>
      </c>
      <c r="AD52" s="1538"/>
    </row>
    <row customHeight="1" ht="36">
      <c r="A53" s="1537"/>
      <c r="B53" s="1591">
        <v>36</v>
      </c>
      <c r="C53" s="1535">
        <v>1</v>
      </c>
      <c r="D53" s="1659"/>
      <c r="E53" s="1535"/>
      <c r="F53" s="1535"/>
      <c r="G53" s="1535"/>
      <c r="H53" s="1583"/>
      <c r="I53" s="1697" t="str">
        <f>INDEX(TEMPLATE_NUMBER_POINT_FHD,B53,MATCH(TEMPLATE_SPHERE,TEMPLATE_SPHERE_LIST_FOR_NOTE,0))</f>
        <v>4.1</v>
      </c>
      <c r="J53" s="1697"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697">
        <f>INDEX(TEMPLATE_NOTE_POINT_FHD,B53,MATCH(TEMPLATE_SPHERE,TEMPLATE_SPHERE_LIST_FOR_NOTE,0))</f>
        <v>0</v>
      </c>
      <c r="L53" s="1536" t="str">
        <f>IF(I53=0,"",I53)</f>
        <v>4.1</v>
      </c>
      <c r="M53" s="153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536" t="str">
        <f>IF(K53=0,"",K53)</f>
        <v/>
      </c>
      <c r="O53" s="1649" t="s">
        <v>827</v>
      </c>
      <c r="P53" s="1649" t="s">
        <v>399</v>
      </c>
      <c r="Q53" s="1649" t="s">
        <v>399</v>
      </c>
      <c r="R53" s="1649" t="s">
        <v>399</v>
      </c>
      <c r="S53" s="1649"/>
      <c r="T53" s="1535" t="s">
        <v>2218</v>
      </c>
      <c r="U53" s="1535" t="s">
        <v>2218</v>
      </c>
      <c r="V53" s="1535" t="s">
        <v>2218</v>
      </c>
      <c r="W53" s="1535" t="s">
        <v>2218</v>
      </c>
      <c r="X53" s="1535"/>
      <c r="Y53" s="1692"/>
      <c r="Z53" s="1538"/>
      <c r="AA53" s="1541"/>
      <c r="AB53" s="1538"/>
      <c r="AC53" s="1538"/>
      <c r="AD53" s="1538"/>
    </row>
    <row customHeight="1" ht="18">
      <c r="A54" s="1537"/>
      <c r="B54" s="1591">
        <v>37</v>
      </c>
      <c r="C54" s="1535" t="s">
        <v>2112</v>
      </c>
      <c r="D54" s="1659" t="s">
        <v>2112</v>
      </c>
      <c r="E54" s="1535" t="s">
        <v>2112</v>
      </c>
      <c r="F54" s="1535" t="s">
        <v>2112</v>
      </c>
      <c r="G54" s="1535"/>
      <c r="H54" s="1583"/>
      <c r="I54" s="1697" t="str">
        <f>INDEX(TEMPLATE_NUMBER_POINT_FHD,B54,MATCH(TEMPLATE_SPHERE,TEMPLATE_SPHERE_LIST_FOR_NOTE,0))</f>
        <v>5</v>
      </c>
      <c r="J54" s="1697" t="str">
        <f>INDEX(TEMPLATE_DATA_POINT_FHD,B54,MATCH(TEMPLATE_SPHERE,TEMPLATE_SPHERE_LIST_FOR_NOTE,0))</f>
        <v>Изменение стоимости основных фондов, в том числе:</v>
      </c>
      <c r="K54" s="1697" t="str">
        <f>INDEX(TEMPLATE_NOTE_POINT_FHD,B54,MATCH(TEMPLATE_SPHERE,TEMPLATE_SPHERE_LIST_FOR_NOTE,0))</f>
        <v>Указывается общее изменение стоимости основных фондов.</v>
      </c>
      <c r="L54" s="1536" t="str">
        <f>IF(I54=0,"",I54)</f>
        <v>5</v>
      </c>
      <c r="M54" s="1536" t="str">
        <f>IF(J54=0,"",J54)</f>
        <v>Изменение стоимости основных фондов, в том числе:</v>
      </c>
      <c r="N54" s="1536" t="str">
        <f>IF(K54=0,"",K54)</f>
        <v>Указывается общее изменение стоимости основных фондов.</v>
      </c>
      <c r="O54" s="1649" t="s">
        <v>119</v>
      </c>
      <c r="P54" s="1649" t="s">
        <v>92</v>
      </c>
      <c r="Q54" s="1649" t="s">
        <v>92</v>
      </c>
      <c r="R54" s="1649" t="s">
        <v>92</v>
      </c>
      <c r="S54" s="1649"/>
      <c r="T54" s="1535" t="s">
        <v>825</v>
      </c>
      <c r="U54" s="1535" t="s">
        <v>825</v>
      </c>
      <c r="V54" s="1535" t="s">
        <v>825</v>
      </c>
      <c r="W54" s="1535" t="s">
        <v>825</v>
      </c>
      <c r="X54" s="1535"/>
      <c r="Y54" s="1692"/>
      <c r="Z54" s="1538" t="s">
        <v>826</v>
      </c>
      <c r="AA54" s="1538" t="s">
        <v>826</v>
      </c>
      <c r="AB54" s="1538" t="s">
        <v>826</v>
      </c>
      <c r="AC54" s="1538" t="s">
        <v>826</v>
      </c>
      <c r="AD54" s="1538"/>
    </row>
    <row customHeight="1" ht="36">
      <c r="A55" s="1537"/>
      <c r="B55" s="1591">
        <v>38</v>
      </c>
      <c r="C55" s="1535">
        <v>1</v>
      </c>
      <c r="D55" s="1659"/>
      <c r="E55" s="1535"/>
      <c r="F55" s="1535"/>
      <c r="G55" s="1535"/>
      <c r="H55" s="1583"/>
      <c r="I55" s="1697" t="str">
        <f>INDEX(TEMPLATE_NUMBER_POINT_FHD,B55,MATCH(TEMPLATE_SPHERE,TEMPLATE_SPHERE_LIST_FOR_NOTE,0))</f>
        <v>5.1</v>
      </c>
      <c r="J55" s="1697" t="str">
        <f>INDEX(TEMPLATE_DATA_POINT_FHD,B55,MATCH(TEMPLATE_SPHERE,TEMPLATE_SPHERE_LIST_FOR_NOTE,0))</f>
        <v>Изменение стоимости основных фондов за счет:</v>
      </c>
      <c r="K55" s="1697"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536" t="str">
        <f>IF(I55=0,"",I55)</f>
        <v>5.1</v>
      </c>
      <c r="M55" s="1536" t="str">
        <f>IF(J55=0,"",J55)</f>
        <v>Изменение стоимости основных фондов за счет:</v>
      </c>
      <c r="N55" s="1536" t="str">
        <f>IF(K55=0,"",K55)</f>
        <v>Указываются общее изменение стоимости основных фондов за счет их ввода в эксплуатацию и вывода из эксплуатации.</v>
      </c>
      <c r="O55" s="1649" t="s">
        <v>388</v>
      </c>
      <c r="P55" s="1649" t="s">
        <v>827</v>
      </c>
      <c r="Q55" s="1649" t="s">
        <v>827</v>
      </c>
      <c r="R55" s="1649" t="s">
        <v>827</v>
      </c>
      <c r="S55" s="1649"/>
      <c r="T55" s="1536"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535" t="s">
        <v>2219</v>
      </c>
      <c r="V55" s="1535" t="s">
        <v>2219</v>
      </c>
      <c r="W55" s="1535" t="s">
        <v>2219</v>
      </c>
      <c r="X55" s="1535"/>
      <c r="Y55" s="1692"/>
      <c r="Z55" s="1538" t="s">
        <v>2220</v>
      </c>
      <c r="AA55" s="1538" t="s">
        <v>2220</v>
      </c>
      <c r="AB55" s="1538" t="s">
        <v>2220</v>
      </c>
      <c r="AC55" s="1538" t="s">
        <v>2220</v>
      </c>
      <c r="AD55" s="1538"/>
    </row>
    <row customHeight="1" ht="27">
      <c r="A56" s="1537"/>
      <c r="B56" s="1591">
        <v>39</v>
      </c>
      <c r="C56" s="1535" t="s">
        <v>1095</v>
      </c>
      <c r="D56" s="1659"/>
      <c r="E56" s="1535"/>
      <c r="F56" s="1535"/>
      <c r="G56" s="1535"/>
      <c r="H56" s="1583"/>
      <c r="I56" s="1697" t="str">
        <f>INDEX(TEMPLATE_NUMBER_POINT_FHD,B56,MATCH(TEMPLATE_SPHERE,TEMPLATE_SPHERE_LIST_FOR_NOTE,0))</f>
        <v>5.1.1</v>
      </c>
      <c r="J56" s="1697" t="str">
        <f>INDEX(TEMPLATE_DATA_POINT_FHD,B56,MATCH(TEMPLATE_SPHERE,TEMPLATE_SPHERE_LIST_FOR_NOTE,0))</f>
        <v>Изменения стоимости основных фондов за счет их ввода в эксплуатацию</v>
      </c>
      <c r="K56" s="1697" t="str">
        <f>INDEX(TEMPLATE_NOTE_POINT_FHD,B56,MATCH(TEMPLATE_SPHERE,TEMPLATE_SPHERE_LIST_FOR_NOTE,0))</f>
        <v>Указываются изменение стоимости основных фондов за счет их ввода в эксплуатацию.</v>
      </c>
      <c r="L56" s="1536" t="str">
        <f>IF(I56=0,"",I56)</f>
        <v>5.1.1</v>
      </c>
      <c r="M56" s="1536" t="str">
        <f>IF(J56=0,"",J56)</f>
        <v>Изменения стоимости основных фондов за счет их ввода в эксплуатацию</v>
      </c>
      <c r="N56" s="1536" t="str">
        <f>IF(K56=0,"",K56)</f>
        <v>Указываются изменение стоимости основных фондов за счет их ввода в эксплуатацию.</v>
      </c>
      <c r="O56" s="1649" t="s">
        <v>1212</v>
      </c>
      <c r="P56" s="1649" t="s">
        <v>830</v>
      </c>
      <c r="Q56" s="1649" t="s">
        <v>830</v>
      </c>
      <c r="R56" s="1649" t="s">
        <v>830</v>
      </c>
      <c r="S56" s="1649"/>
      <c r="T56" s="1536"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535" t="s">
        <v>2221</v>
      </c>
      <c r="V56" s="1535" t="s">
        <v>2221</v>
      </c>
      <c r="W56" s="1535" t="s">
        <v>2221</v>
      </c>
      <c r="X56" s="1535"/>
      <c r="Y56" s="1692"/>
      <c r="Z56" s="1538" t="s">
        <v>832</v>
      </c>
      <c r="AA56" s="1538" t="s">
        <v>832</v>
      </c>
      <c r="AB56" s="1538" t="s">
        <v>832</v>
      </c>
      <c r="AC56" s="1538" t="s">
        <v>832</v>
      </c>
      <c r="AD56" s="1538"/>
    </row>
    <row customHeight="1" ht="27">
      <c r="A57" s="1537"/>
      <c r="B57" s="1591">
        <v>40</v>
      </c>
      <c r="C57" s="1535" t="s">
        <v>1097</v>
      </c>
      <c r="D57" s="1659"/>
      <c r="E57" s="1535"/>
      <c r="F57" s="1535"/>
      <c r="G57" s="1535"/>
      <c r="H57" s="1583"/>
      <c r="I57" s="1697" t="str">
        <f>INDEX(TEMPLATE_NUMBER_POINT_FHD,B57,MATCH(TEMPLATE_SPHERE,TEMPLATE_SPHERE_LIST_FOR_NOTE,0))</f>
        <v>5.1.2</v>
      </c>
      <c r="J57" s="1697" t="str">
        <f>INDEX(TEMPLATE_DATA_POINT_FHD,B57,MATCH(TEMPLATE_SPHERE,TEMPLATE_SPHERE_LIST_FOR_NOTE,0))</f>
        <v>Изменения стоимости основных фондов за счет их вывода в эксплуатацию</v>
      </c>
      <c r="K57" s="1697" t="str">
        <f>INDEX(TEMPLATE_NOTE_POINT_FHD,B57,MATCH(TEMPLATE_SPHERE,TEMPLATE_SPHERE_LIST_FOR_NOTE,0))</f>
        <v>Указываются изменение стоимости основных фондов за счет их вывода из эксплуатации.</v>
      </c>
      <c r="L57" s="1536" t="str">
        <f>IF(I57=0,"",I57)</f>
        <v>5.1.2</v>
      </c>
      <c r="M57" s="1536" t="str">
        <f>IF(J57=0,"",J57)</f>
        <v>Изменения стоимости основных фондов за счет их вывода в эксплуатацию</v>
      </c>
      <c r="N57" s="1536" t="str">
        <f>IF(K57=0,"",K57)</f>
        <v>Указываются изменение стоимости основных фондов за счет их вывода из эксплуатации.</v>
      </c>
      <c r="O57" s="1649" t="s">
        <v>2222</v>
      </c>
      <c r="P57" s="1649" t="s">
        <v>833</v>
      </c>
      <c r="Q57" s="1649" t="s">
        <v>833</v>
      </c>
      <c r="R57" s="1649" t="s">
        <v>833</v>
      </c>
      <c r="S57" s="1649"/>
      <c r="T57" s="1536"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535" t="s">
        <v>2223</v>
      </c>
      <c r="V57" s="1535" t="s">
        <v>2223</v>
      </c>
      <c r="W57" s="1535" t="s">
        <v>2223</v>
      </c>
      <c r="X57" s="1535"/>
      <c r="Y57" s="1692"/>
      <c r="Z57" s="1538" t="s">
        <v>835</v>
      </c>
      <c r="AA57" s="1538" t="s">
        <v>835</v>
      </c>
      <c r="AB57" s="1538" t="s">
        <v>835</v>
      </c>
      <c r="AC57" s="1538" t="s">
        <v>835</v>
      </c>
      <c r="AD57" s="1538"/>
    </row>
    <row customHeight="1" ht="18">
      <c r="A58" s="1537"/>
      <c r="B58" s="1591">
        <v>41</v>
      </c>
      <c r="C58" s="1535">
        <v>2</v>
      </c>
      <c r="D58" s="1659"/>
      <c r="E58" s="1535"/>
      <c r="F58" s="1535"/>
      <c r="G58" s="1535"/>
      <c r="H58" s="1583"/>
      <c r="I58" s="1697" t="str">
        <f>INDEX(TEMPLATE_NUMBER_POINT_FHD,B58,MATCH(TEMPLATE_SPHERE,TEMPLATE_SPHERE_LIST_FOR_NOTE,0))</f>
        <v>5.2</v>
      </c>
      <c r="J58" s="1697" t="str">
        <f>INDEX(TEMPLATE_DATA_POINT_FHD,B58,MATCH(TEMPLATE_SPHERE,TEMPLATE_SPHERE_LIST_FOR_NOTE,0))</f>
        <v>Изменение стоимости основных фондов за счет их переоценки</v>
      </c>
      <c r="K58" s="1697">
        <f>INDEX(TEMPLATE_NOTE_POINT_FHD,B58,MATCH(TEMPLATE_SPHERE,TEMPLATE_SPHERE_LIST_FOR_NOTE,0))</f>
        <v>0</v>
      </c>
      <c r="L58" s="1536" t="str">
        <f>IF(I58=0,"",I58)</f>
        <v>5.2</v>
      </c>
      <c r="M58" s="1536" t="str">
        <f>IF(J58=0,"",J58)</f>
        <v>Изменение стоимости основных фондов за счет их переоценки</v>
      </c>
      <c r="N58" s="1536" t="str">
        <f>IF(K58=0,"",K58)</f>
        <v/>
      </c>
      <c r="O58" s="1649" t="s">
        <v>955</v>
      </c>
      <c r="P58" s="1649" t="s">
        <v>869</v>
      </c>
      <c r="Q58" s="1649" t="s">
        <v>869</v>
      </c>
      <c r="R58" s="1649" t="s">
        <v>869</v>
      </c>
      <c r="S58" s="1649"/>
      <c r="T58" s="1536"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535" t="s">
        <v>2224</v>
      </c>
      <c r="V58" s="1535" t="s">
        <v>2224</v>
      </c>
      <c r="W58" s="1535" t="s">
        <v>2224</v>
      </c>
      <c r="X58" s="1535"/>
      <c r="Y58" s="1692"/>
      <c r="Z58" s="1538"/>
      <c r="AA58" s="1541"/>
      <c r="AB58" s="1538"/>
      <c r="AC58" s="1538"/>
      <c r="AD58" s="1538"/>
    </row>
    <row customHeight="1" ht="36">
      <c r="A59" s="1537"/>
      <c r="B59" s="1591">
        <v>42</v>
      </c>
      <c r="C59" s="1535">
        <v>3</v>
      </c>
      <c r="D59" s="1659" t="s">
        <v>2212</v>
      </c>
      <c r="E59" s="1535" t="s">
        <v>2212</v>
      </c>
      <c r="F59" s="1535" t="s">
        <v>2212</v>
      </c>
      <c r="G59" s="1535"/>
      <c r="H59" s="1583"/>
      <c r="I59" s="1697">
        <f>INDEX(TEMPLATE_NUMBER_POINT_FHD,B59,MATCH(TEMPLATE_SPHERE,TEMPLATE_SPHERE_LIST_FOR_NOTE,0))</f>
        <v>0</v>
      </c>
      <c r="J59" s="1697">
        <f>INDEX(TEMPLATE_DATA_POINT_FHD,B59,MATCH(TEMPLATE_SPHERE,TEMPLATE_SPHERE_LIST_FOR_NOTE,0))</f>
        <v>0</v>
      </c>
      <c r="K59" s="1697">
        <f>INDEX(TEMPLATE_NOTE_POINT_FHD,B59,MATCH(TEMPLATE_SPHERE,TEMPLATE_SPHERE_LIST_FOR_NOTE,0))</f>
        <v>0</v>
      </c>
      <c r="L59" s="1536" t="str">
        <f>IF(I59=0,"",I59)</f>
        <v/>
      </c>
      <c r="M59" s="1536" t="str">
        <f>IF(J59=0,"",J59)</f>
        <v/>
      </c>
      <c r="N59" s="1536" t="str">
        <f>IF(K59=0,"",K59)</f>
        <v/>
      </c>
      <c r="O59" s="1649"/>
      <c r="P59" s="1649" t="s">
        <v>119</v>
      </c>
      <c r="Q59" s="1649" t="s">
        <v>119</v>
      </c>
      <c r="R59" s="1649" t="s">
        <v>119</v>
      </c>
      <c r="S59" s="1649"/>
      <c r="T59" s="1535"/>
      <c r="U59" s="1535" t="s">
        <v>2225</v>
      </c>
      <c r="V59" s="1535" t="s">
        <v>2226</v>
      </c>
      <c r="W59" s="1535" t="s">
        <v>2227</v>
      </c>
      <c r="X59" s="1535"/>
      <c r="Y59" s="1692"/>
      <c r="Z59" s="1538"/>
      <c r="AA59" s="1541"/>
      <c r="AB59" s="1538"/>
      <c r="AC59" s="1538"/>
      <c r="AD59" s="1538"/>
    </row>
    <row customHeight="1" ht="81">
      <c r="A60" s="1537"/>
      <c r="B60" s="1591">
        <v>43</v>
      </c>
      <c r="C60" s="1535" t="s">
        <v>2228</v>
      </c>
      <c r="D60" s="1659" t="s">
        <v>2228</v>
      </c>
      <c r="E60" s="1535" t="s">
        <v>2228</v>
      </c>
      <c r="F60" s="1535" t="s">
        <v>2228</v>
      </c>
      <c r="G60" s="1535"/>
      <c r="H60" s="1583"/>
      <c r="I60" s="1697" t="str">
        <f>INDEX(TEMPLATE_NUMBER_POINT_FHD,B60,MATCH(TEMPLATE_SPHERE,TEMPLATE_SPHERE_LIST_FOR_NOTE,0))</f>
        <v>6</v>
      </c>
      <c r="J60" s="1697" t="str">
        <f>INDEX(TEMPLATE_DATA_POINT_FHD,B60,MATCH(TEMPLATE_SPHERE,TEMPLATE_SPHERE_LIST_FOR_NOTE,0))</f>
        <v>Годовая бухгалтерская (финансовая) отчетность, включая бухгалтерский баланс и приложения к нему</v>
      </c>
      <c r="K60" s="1697"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536" t="str">
        <f>IF(I60=0,"",I60)</f>
        <v>6</v>
      </c>
      <c r="M60" s="1536" t="str">
        <f>IF(J60=0,"",J60)</f>
        <v>Годовая бухгалтерская (финансовая) отчетность, включая бухгалтерский баланс и приложения к нему</v>
      </c>
      <c r="N60" s="1536"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649" t="s">
        <v>93</v>
      </c>
      <c r="P60" s="1649" t="s">
        <v>93</v>
      </c>
      <c r="Q60" s="1649" t="s">
        <v>93</v>
      </c>
      <c r="R60" s="1649" t="s">
        <v>93</v>
      </c>
      <c r="S60" s="1649"/>
      <c r="T60" s="1535" t="s">
        <v>703</v>
      </c>
      <c r="U60" s="1535" t="s">
        <v>703</v>
      </c>
      <c r="V60" s="1535" t="s">
        <v>703</v>
      </c>
      <c r="W60" s="1535" t="s">
        <v>703</v>
      </c>
      <c r="X60" s="1535"/>
      <c r="Y60" s="1692"/>
      <c r="Z60" s="1538" t="s">
        <v>2229</v>
      </c>
      <c r="AA60" s="1541" t="s">
        <v>2230</v>
      </c>
      <c r="AB60" s="1538" t="s">
        <v>2231</v>
      </c>
      <c r="AC60" s="1538" t="s">
        <v>2230</v>
      </c>
      <c r="AD60" s="1538"/>
    </row>
    <row customHeight="1" ht="9">
      <c r="A61" s="1537"/>
      <c r="B61" s="1591">
        <v>44</v>
      </c>
      <c r="C61" s="1535"/>
      <c r="D61" s="1659" t="s">
        <v>2232</v>
      </c>
      <c r="E61" s="1535"/>
      <c r="F61" s="1535"/>
      <c r="G61" s="1535"/>
      <c r="H61" s="1583"/>
      <c r="I61" s="1697">
        <f>INDEX(TEMPLATE_NUMBER_POINT_FHD,B61,MATCH(TEMPLATE_SPHERE,TEMPLATE_SPHERE_LIST_FOR_NOTE,0))</f>
        <v>0</v>
      </c>
      <c r="J61" s="1697">
        <f>INDEX(TEMPLATE_DATA_POINT_FHD,B61,MATCH(TEMPLATE_SPHERE,TEMPLATE_SPHERE_LIST_FOR_NOTE,0))</f>
        <v>0</v>
      </c>
      <c r="K61" s="1697">
        <f>INDEX(TEMPLATE_NOTE_POINT_FHD,B61,MATCH(TEMPLATE_SPHERE,TEMPLATE_SPHERE_LIST_FOR_NOTE,0))</f>
        <v>0</v>
      </c>
      <c r="L61" s="1536" t="str">
        <f>IF(I61=0,"",I61)</f>
        <v/>
      </c>
      <c r="M61" s="1536" t="str">
        <f>IF(J61=0,"",J61)</f>
        <v/>
      </c>
      <c r="N61" s="1536" t="str">
        <f>IF(K61=0,"",K61)</f>
        <v/>
      </c>
      <c r="O61" s="1649"/>
      <c r="P61" s="1649" t="s">
        <v>94</v>
      </c>
      <c r="Q61" s="1649"/>
      <c r="R61" s="1649"/>
      <c r="S61" s="1649"/>
      <c r="T61" s="1535"/>
      <c r="U61" s="1535" t="s">
        <v>2233</v>
      </c>
      <c r="V61" s="1535"/>
      <c r="W61" s="1535"/>
      <c r="X61" s="1535"/>
      <c r="Y61" s="1692"/>
      <c r="Z61" s="1538"/>
      <c r="AA61" s="1541"/>
      <c r="AB61" s="1538"/>
      <c r="AC61" s="1538"/>
      <c r="AD61" s="1538"/>
    </row>
    <row customHeight="1" ht="9">
      <c r="A62" s="1537"/>
      <c r="B62" s="1591">
        <v>45</v>
      </c>
      <c r="C62" s="1535"/>
      <c r="D62" s="1659" t="s">
        <v>2234</v>
      </c>
      <c r="E62" s="1535"/>
      <c r="F62" s="1535"/>
      <c r="G62" s="1535"/>
      <c r="H62" s="1583"/>
      <c r="I62" s="1697">
        <f>INDEX(TEMPLATE_NUMBER_POINT_FHD,B62,MATCH(TEMPLATE_SPHERE,TEMPLATE_SPHERE_LIST_FOR_NOTE,0))</f>
        <v>0</v>
      </c>
      <c r="J62" s="1697">
        <f>INDEX(TEMPLATE_DATA_POINT_FHD,B62,MATCH(TEMPLATE_SPHERE,TEMPLATE_SPHERE_LIST_FOR_NOTE,0))</f>
        <v>0</v>
      </c>
      <c r="K62" s="1697">
        <f>INDEX(TEMPLATE_NOTE_POINT_FHD,B62,MATCH(TEMPLATE_SPHERE,TEMPLATE_SPHERE_LIST_FOR_NOTE,0))</f>
        <v>0</v>
      </c>
      <c r="L62" s="1536" t="str">
        <f>IF(I62=0,"",I62)</f>
        <v/>
      </c>
      <c r="M62" s="1536" t="str">
        <f>IF(J62=0,"",J62)</f>
        <v/>
      </c>
      <c r="N62" s="1536" t="str">
        <f>IF(K62=0,"",K62)</f>
        <v/>
      </c>
      <c r="O62" s="1649"/>
      <c r="P62" s="1649" t="s">
        <v>120</v>
      </c>
      <c r="Q62" s="1649"/>
      <c r="R62" s="1649"/>
      <c r="S62" s="1649"/>
      <c r="T62" s="1535"/>
      <c r="U62" s="1535" t="s">
        <v>2235</v>
      </c>
      <c r="V62" s="1535"/>
      <c r="W62" s="1535"/>
      <c r="X62" s="1535"/>
      <c r="Y62" s="1692"/>
      <c r="Z62" s="1538"/>
      <c r="AA62" s="1541"/>
      <c r="AB62" s="1538"/>
      <c r="AC62" s="1538"/>
      <c r="AD62" s="1538"/>
    </row>
    <row customHeight="1" ht="18">
      <c r="A63" s="1537"/>
      <c r="B63" s="1591">
        <v>46</v>
      </c>
      <c r="C63" s="1535"/>
      <c r="D63" s="1659" t="s">
        <v>2236</v>
      </c>
      <c r="E63" s="1535"/>
      <c r="F63" s="1535"/>
      <c r="G63" s="1535"/>
      <c r="H63" s="1583"/>
      <c r="I63" s="1697">
        <f>INDEX(TEMPLATE_NUMBER_POINT_FHD,B63,MATCH(TEMPLATE_SPHERE,TEMPLATE_SPHERE_LIST_FOR_NOTE,0))</f>
        <v>0</v>
      </c>
      <c r="J63" s="1697">
        <f>INDEX(TEMPLATE_DATA_POINT_FHD,B63,MATCH(TEMPLATE_SPHERE,TEMPLATE_SPHERE_LIST_FOR_NOTE,0))</f>
        <v>0</v>
      </c>
      <c r="K63" s="1697">
        <f>INDEX(TEMPLATE_NOTE_POINT_FHD,B63,MATCH(TEMPLATE_SPHERE,TEMPLATE_SPHERE_LIST_FOR_NOTE,0))</f>
        <v>0</v>
      </c>
      <c r="L63" s="1536" t="str">
        <f>IF(I63=0,"",I63)</f>
        <v/>
      </c>
      <c r="M63" s="1536" t="str">
        <f>IF(J63=0,"",J63)</f>
        <v/>
      </c>
      <c r="N63" s="1536" t="str">
        <f>IF(K63=0,"",K63)</f>
        <v/>
      </c>
      <c r="O63" s="1649"/>
      <c r="P63" s="1649" t="s">
        <v>156</v>
      </c>
      <c r="Q63" s="1649"/>
      <c r="R63" s="1649"/>
      <c r="S63" s="1649"/>
      <c r="T63" s="1535"/>
      <c r="U63" s="1535" t="s">
        <v>2237</v>
      </c>
      <c r="V63" s="1535"/>
      <c r="W63" s="1535"/>
      <c r="X63" s="1535"/>
      <c r="Y63" s="1692"/>
      <c r="Z63" s="1538"/>
      <c r="AA63" s="1541"/>
      <c r="AB63" s="1538"/>
      <c r="AC63" s="1538"/>
      <c r="AD63" s="1538"/>
    </row>
    <row customHeight="1" ht="18">
      <c r="A64" s="1537"/>
      <c r="B64" s="1591">
        <v>47</v>
      </c>
      <c r="C64" s="1535"/>
      <c r="D64" s="1659" t="s">
        <v>2238</v>
      </c>
      <c r="E64" s="1535"/>
      <c r="F64" s="1535"/>
      <c r="G64" s="1535"/>
      <c r="H64" s="1583"/>
      <c r="I64" s="1697">
        <f>INDEX(TEMPLATE_NUMBER_POINT_FHD,B64,MATCH(TEMPLATE_SPHERE,TEMPLATE_SPHERE_LIST_FOR_NOTE,0))</f>
        <v>0</v>
      </c>
      <c r="J64" s="1697">
        <f>INDEX(TEMPLATE_DATA_POINT_FHD,B64,MATCH(TEMPLATE_SPHERE,TEMPLATE_SPHERE_LIST_FOR_NOTE,0))</f>
        <v>0</v>
      </c>
      <c r="K64" s="1697">
        <f>INDEX(TEMPLATE_NOTE_POINT_FHD,B64,MATCH(TEMPLATE_SPHERE,TEMPLATE_SPHERE_LIST_FOR_NOTE,0))</f>
        <v>0</v>
      </c>
      <c r="L64" s="1536" t="str">
        <f>IF(I64=0,"",I64)</f>
        <v/>
      </c>
      <c r="M64" s="1536" t="str">
        <f>IF(J64=0,"",J64)</f>
        <v/>
      </c>
      <c r="N64" s="1536" t="str">
        <f>IF(K64=0,"",K64)</f>
        <v/>
      </c>
      <c r="O64" s="1649"/>
      <c r="P64" s="1649" t="s">
        <v>157</v>
      </c>
      <c r="Q64" s="1649"/>
      <c r="R64" s="1649"/>
      <c r="S64" s="1649"/>
      <c r="T64" s="1535"/>
      <c r="U64" s="1535" t="s">
        <v>2239</v>
      </c>
      <c r="V64" s="1535"/>
      <c r="W64" s="1535"/>
      <c r="X64" s="1535"/>
      <c r="Y64" s="1692"/>
      <c r="Z64" s="1538"/>
      <c r="AA64" s="1541" t="s">
        <v>2240</v>
      </c>
      <c r="AB64" s="1538"/>
      <c r="AC64" s="1538"/>
      <c r="AD64" s="1538"/>
    </row>
    <row customHeight="1" ht="18">
      <c r="A65" s="1537"/>
      <c r="B65" s="1591">
        <v>48</v>
      </c>
      <c r="C65" s="1535"/>
      <c r="D65" s="1659"/>
      <c r="E65" s="1535"/>
      <c r="F65" s="1535"/>
      <c r="G65" s="1535"/>
      <c r="H65" s="1583"/>
      <c r="I65" s="1697">
        <f>INDEX(TEMPLATE_NUMBER_POINT_FHD,B65,MATCH(TEMPLATE_SPHERE,TEMPLATE_SPHERE_LIST_FOR_NOTE,0))</f>
        <v>0</v>
      </c>
      <c r="J65" s="1697">
        <f>INDEX(TEMPLATE_DATA_POINT_FHD,B65,MATCH(TEMPLATE_SPHERE,TEMPLATE_SPHERE_LIST_FOR_NOTE,0))</f>
        <v>0</v>
      </c>
      <c r="K65" s="1697">
        <f>INDEX(TEMPLATE_NOTE_POINT_FHD,B65,MATCH(TEMPLATE_SPHERE,TEMPLATE_SPHERE_LIST_FOR_NOTE,0))</f>
        <v>0</v>
      </c>
      <c r="L65" s="1536" t="str">
        <f>IF(I65=0,"",I65)</f>
        <v/>
      </c>
      <c r="M65" s="1536" t="str">
        <f>IF(J65=0,"",J65)</f>
        <v/>
      </c>
      <c r="N65" s="1536" t="str">
        <f>IF(K65=0,"",K65)</f>
        <v/>
      </c>
      <c r="O65" s="1649"/>
      <c r="P65" s="1649" t="s">
        <v>2153</v>
      </c>
      <c r="Q65" s="1649"/>
      <c r="R65" s="1649"/>
      <c r="S65" s="1649"/>
      <c r="T65" s="1535"/>
      <c r="U65" s="1535" t="s">
        <v>2241</v>
      </c>
      <c r="V65" s="1535"/>
      <c r="W65" s="1535"/>
      <c r="X65" s="1535"/>
      <c r="Y65" s="1692"/>
      <c r="Z65" s="1538"/>
      <c r="AA65" s="1541"/>
      <c r="AB65" s="1538"/>
      <c r="AC65" s="1538"/>
      <c r="AD65" s="1538"/>
    </row>
    <row customHeight="1" ht="18">
      <c r="A66" s="1537"/>
      <c r="B66" s="1591">
        <v>49</v>
      </c>
      <c r="C66" s="1535"/>
      <c r="D66" s="1659"/>
      <c r="E66" s="1535"/>
      <c r="F66" s="1535"/>
      <c r="G66" s="1535"/>
      <c r="H66" s="1583"/>
      <c r="I66" s="1697">
        <f>INDEX(TEMPLATE_NUMBER_POINT_FHD,B66,MATCH(TEMPLATE_SPHERE,TEMPLATE_SPHERE_LIST_FOR_NOTE,0))</f>
        <v>0</v>
      </c>
      <c r="J66" s="1697">
        <f>INDEX(TEMPLATE_DATA_POINT_FHD,B66,MATCH(TEMPLATE_SPHERE,TEMPLATE_SPHERE_LIST_FOR_NOTE,0))</f>
        <v>0</v>
      </c>
      <c r="K66" s="1697">
        <f>INDEX(TEMPLATE_NOTE_POINT_FHD,B66,MATCH(TEMPLATE_SPHERE,TEMPLATE_SPHERE_LIST_FOR_NOTE,0))</f>
        <v>0</v>
      </c>
      <c r="L66" s="1536" t="str">
        <f>IF(I66=0,"",I66)</f>
        <v/>
      </c>
      <c r="M66" s="1536" t="str">
        <f>IF(J66=0,"",J66)</f>
        <v/>
      </c>
      <c r="N66" s="1536" t="str">
        <f>IF(K66=0,"",K66)</f>
        <v/>
      </c>
      <c r="O66" s="1649"/>
      <c r="P66" s="1649" t="s">
        <v>2157</v>
      </c>
      <c r="Q66" s="1649"/>
      <c r="R66" s="1649"/>
      <c r="S66" s="1649"/>
      <c r="T66" s="1535"/>
      <c r="U66" s="1535" t="s">
        <v>2242</v>
      </c>
      <c r="V66" s="1535"/>
      <c r="W66" s="1535"/>
      <c r="X66" s="1535"/>
      <c r="Y66" s="1692"/>
      <c r="Z66" s="1538"/>
      <c r="AA66" s="1541"/>
      <c r="AB66" s="1538"/>
      <c r="AC66" s="1538"/>
      <c r="AD66" s="1538"/>
    </row>
    <row customHeight="1" ht="27">
      <c r="A67" s="1537"/>
      <c r="B67" s="1591">
        <v>50</v>
      </c>
      <c r="C67" s="1535"/>
      <c r="D67" s="1659"/>
      <c r="E67" s="1535"/>
      <c r="F67" s="1535"/>
      <c r="G67" s="1535"/>
      <c r="H67" s="1583"/>
      <c r="I67" s="1697">
        <f>INDEX(TEMPLATE_NUMBER_POINT_FHD,B67,MATCH(TEMPLATE_SPHERE,TEMPLATE_SPHERE_LIST_FOR_NOTE,0))</f>
        <v>0</v>
      </c>
      <c r="J67" s="1697">
        <f>INDEX(TEMPLATE_DATA_POINT_FHD,B67,MATCH(TEMPLATE_SPHERE,TEMPLATE_SPHERE_LIST_FOR_NOTE,0))</f>
        <v>0</v>
      </c>
      <c r="K67" s="1697">
        <f>INDEX(TEMPLATE_NOTE_POINT_FHD,B67,MATCH(TEMPLATE_SPHERE,TEMPLATE_SPHERE_LIST_FOR_NOTE,0))</f>
        <v>0</v>
      </c>
      <c r="L67" s="1536" t="str">
        <f>IF(I67=0,"",I67)</f>
        <v/>
      </c>
      <c r="M67" s="1536" t="str">
        <f>IF(J67=0,"",J67)</f>
        <v/>
      </c>
      <c r="N67" s="1536" t="str">
        <f>IF(K67=0,"",K67)</f>
        <v/>
      </c>
      <c r="O67" s="1649"/>
      <c r="P67" s="1649" t="s">
        <v>2243</v>
      </c>
      <c r="Q67" s="1649"/>
      <c r="R67" s="1649"/>
      <c r="S67" s="1649"/>
      <c r="T67" s="1535"/>
      <c r="U67" s="1535" t="s">
        <v>2244</v>
      </c>
      <c r="V67" s="1535"/>
      <c r="W67" s="1535"/>
      <c r="X67" s="1535"/>
      <c r="Y67" s="1692"/>
      <c r="Z67" s="1538"/>
      <c r="AA67" s="1541"/>
      <c r="AB67" s="1538"/>
      <c r="AC67" s="1538"/>
      <c r="AD67" s="1538"/>
    </row>
    <row customHeight="1" ht="27">
      <c r="A68" s="1537"/>
      <c r="B68" s="1591">
        <v>51</v>
      </c>
      <c r="C68" s="1535"/>
      <c r="D68" s="1659"/>
      <c r="E68" s="1535"/>
      <c r="F68" s="1535"/>
      <c r="G68" s="1535"/>
      <c r="H68" s="1583"/>
      <c r="I68" s="1697">
        <f>INDEX(TEMPLATE_NUMBER_POINT_FHD,B68,MATCH(TEMPLATE_SPHERE,TEMPLATE_SPHERE_LIST_FOR_NOTE,0))</f>
        <v>0</v>
      </c>
      <c r="J68" s="1697">
        <f>INDEX(TEMPLATE_DATA_POINT_FHD,B68,MATCH(TEMPLATE_SPHERE,TEMPLATE_SPHERE_LIST_FOR_NOTE,0))</f>
        <v>0</v>
      </c>
      <c r="K68" s="1697">
        <f>INDEX(TEMPLATE_NOTE_POINT_FHD,B68,MATCH(TEMPLATE_SPHERE,TEMPLATE_SPHERE_LIST_FOR_NOTE,0))</f>
        <v>0</v>
      </c>
      <c r="L68" s="1536" t="str">
        <f>IF(I68=0,"",I68)</f>
        <v/>
      </c>
      <c r="M68" s="1536" t="str">
        <f>IF(J68=0,"",J68)</f>
        <v/>
      </c>
      <c r="N68" s="1536" t="str">
        <f>IF(K68=0,"",K68)</f>
        <v/>
      </c>
      <c r="O68" s="1649"/>
      <c r="P68" s="1649" t="s">
        <v>2245</v>
      </c>
      <c r="Q68" s="1649"/>
      <c r="R68" s="1649"/>
      <c r="S68" s="1649"/>
      <c r="T68" s="1535"/>
      <c r="U68" s="1535" t="s">
        <v>2246</v>
      </c>
      <c r="V68" s="1535"/>
      <c r="W68" s="1535"/>
      <c r="X68" s="1535"/>
      <c r="Y68" s="1692"/>
      <c r="Z68" s="1538"/>
      <c r="AA68" s="1541"/>
      <c r="AB68" s="1538"/>
      <c r="AC68" s="1538"/>
      <c r="AD68" s="1538"/>
    </row>
    <row customHeight="1" ht="9">
      <c r="A69" s="1537"/>
      <c r="B69" s="1591">
        <v>52</v>
      </c>
      <c r="C69" s="1535"/>
      <c r="D69" s="1659" t="s">
        <v>2247</v>
      </c>
      <c r="E69" s="1535"/>
      <c r="F69" s="1535"/>
      <c r="G69" s="1535"/>
      <c r="H69" s="1583"/>
      <c r="I69" s="1697">
        <f>INDEX(TEMPLATE_NUMBER_POINT_FHD,B69,MATCH(TEMPLATE_SPHERE,TEMPLATE_SPHERE_LIST_FOR_NOTE,0))</f>
        <v>0</v>
      </c>
      <c r="J69" s="1697">
        <f>INDEX(TEMPLATE_DATA_POINT_FHD,B69,MATCH(TEMPLATE_SPHERE,TEMPLATE_SPHERE_LIST_FOR_NOTE,0))</f>
        <v>0</v>
      </c>
      <c r="K69" s="1697">
        <f>INDEX(TEMPLATE_NOTE_POINT_FHD,B69,MATCH(TEMPLATE_SPHERE,TEMPLATE_SPHERE_LIST_FOR_NOTE,0))</f>
        <v>0</v>
      </c>
      <c r="L69" s="1536" t="str">
        <f>IF(I69=0,"",I69)</f>
        <v/>
      </c>
      <c r="M69" s="1536" t="str">
        <f>IF(J69=0,"",J69)</f>
        <v/>
      </c>
      <c r="N69" s="1536" t="str">
        <f>IF(K69=0,"",K69)</f>
        <v/>
      </c>
      <c r="O69" s="1649"/>
      <c r="P69" s="1649" t="s">
        <v>158</v>
      </c>
      <c r="Q69" s="1649"/>
      <c r="R69" s="1649"/>
      <c r="S69" s="1649"/>
      <c r="T69" s="1535"/>
      <c r="U69" s="1535" t="s">
        <v>2248</v>
      </c>
      <c r="V69" s="1535"/>
      <c r="W69" s="1535"/>
      <c r="X69" s="1535"/>
      <c r="Y69" s="1692"/>
      <c r="Z69" s="1538"/>
      <c r="AA69" s="1541"/>
      <c r="AB69" s="1538"/>
      <c r="AC69" s="1538"/>
      <c r="AD69" s="1538"/>
    </row>
    <row customHeight="1" ht="27">
      <c r="A70" s="1537"/>
      <c r="B70" s="1591">
        <v>53</v>
      </c>
      <c r="C70" s="1535"/>
      <c r="D70" s="1659"/>
      <c r="E70" s="1535" t="s">
        <v>2232</v>
      </c>
      <c r="F70" s="1535"/>
      <c r="G70" s="1535"/>
      <c r="H70" s="1583"/>
      <c r="I70" s="1697">
        <f>INDEX(TEMPLATE_NUMBER_POINT_FHD,B70,MATCH(TEMPLATE_SPHERE,TEMPLATE_SPHERE_LIST_FOR_NOTE,0))</f>
        <v>0</v>
      </c>
      <c r="J70" s="1697">
        <f>INDEX(TEMPLATE_DATA_POINT_FHD,B70,MATCH(TEMPLATE_SPHERE,TEMPLATE_SPHERE_LIST_FOR_NOTE,0))</f>
        <v>0</v>
      </c>
      <c r="K70" s="1697">
        <f>INDEX(TEMPLATE_NOTE_POINT_FHD,B70,MATCH(TEMPLATE_SPHERE,TEMPLATE_SPHERE_LIST_FOR_NOTE,0))</f>
        <v>0</v>
      </c>
      <c r="L70" s="1536" t="str">
        <f>IF(I70=0,"",I70)</f>
        <v/>
      </c>
      <c r="M70" s="1536" t="str">
        <f>IF(J70=0,"",J70)</f>
        <v/>
      </c>
      <c r="N70" s="1536" t="str">
        <f>IF(K70=0,"",K70)</f>
        <v/>
      </c>
      <c r="O70" s="1649"/>
      <c r="P70" s="1649"/>
      <c r="Q70" s="1649" t="s">
        <v>94</v>
      </c>
      <c r="R70" s="1649"/>
      <c r="S70" s="1649"/>
      <c r="T70" s="1535"/>
      <c r="U70" s="1535"/>
      <c r="V70" s="1535" t="s">
        <v>2249</v>
      </c>
      <c r="W70" s="1535"/>
      <c r="X70" s="1535"/>
      <c r="Y70" s="1692"/>
      <c r="Z70" s="1538"/>
      <c r="AA70" s="1541"/>
      <c r="AB70" s="1538"/>
      <c r="AC70" s="1538"/>
      <c r="AD70" s="1538"/>
    </row>
    <row customHeight="1" ht="36">
      <c r="A71" s="1537"/>
      <c r="B71" s="1591">
        <v>54</v>
      </c>
      <c r="C71" s="1535"/>
      <c r="D71" s="1659"/>
      <c r="E71" s="1535" t="s">
        <v>2234</v>
      </c>
      <c r="F71" s="1535"/>
      <c r="G71" s="1535"/>
      <c r="H71" s="1583"/>
      <c r="I71" s="1697">
        <f>INDEX(TEMPLATE_NUMBER_POINT_FHD,B71,MATCH(TEMPLATE_SPHERE,TEMPLATE_SPHERE_LIST_FOR_NOTE,0))</f>
        <v>0</v>
      </c>
      <c r="J71" s="1697">
        <f>INDEX(TEMPLATE_DATA_POINT_FHD,B71,MATCH(TEMPLATE_SPHERE,TEMPLATE_SPHERE_LIST_FOR_NOTE,0))</f>
        <v>0</v>
      </c>
      <c r="K71" s="1697">
        <f>INDEX(TEMPLATE_NOTE_POINT_FHD,B71,MATCH(TEMPLATE_SPHERE,TEMPLATE_SPHERE_LIST_FOR_NOTE,0))</f>
        <v>0</v>
      </c>
      <c r="L71" s="1536" t="str">
        <f>IF(I71=0,"",I71)</f>
        <v/>
      </c>
      <c r="M71" s="1536" t="str">
        <f>IF(J71=0,"",J71)</f>
        <v/>
      </c>
      <c r="N71" s="1536" t="str">
        <f>IF(K71=0,"",K71)</f>
        <v/>
      </c>
      <c r="O71" s="1649"/>
      <c r="P71" s="1649"/>
      <c r="Q71" s="1649" t="s">
        <v>120</v>
      </c>
      <c r="R71" s="1649"/>
      <c r="S71" s="1649"/>
      <c r="T71" s="1535"/>
      <c r="U71" s="1535"/>
      <c r="V71" s="1535" t="s">
        <v>2250</v>
      </c>
      <c r="W71" s="1535"/>
      <c r="X71" s="1535"/>
      <c r="Y71" s="1692"/>
      <c r="Z71" s="1538"/>
      <c r="AA71" s="1541"/>
      <c r="AB71" s="1538"/>
      <c r="AC71" s="1538"/>
      <c r="AD71" s="1538"/>
    </row>
    <row customHeight="1" ht="27">
      <c r="A72" s="1537"/>
      <c r="B72" s="1591">
        <v>55</v>
      </c>
      <c r="C72" s="1535"/>
      <c r="D72" s="1659"/>
      <c r="E72" s="1535" t="s">
        <v>2236</v>
      </c>
      <c r="F72" s="1535"/>
      <c r="G72" s="1535"/>
      <c r="H72" s="1583"/>
      <c r="I72" s="1697">
        <f>INDEX(TEMPLATE_NUMBER_POINT_FHD,B72,MATCH(TEMPLATE_SPHERE,TEMPLATE_SPHERE_LIST_FOR_NOTE,0))</f>
        <v>0</v>
      </c>
      <c r="J72" s="1697">
        <f>INDEX(TEMPLATE_DATA_POINT_FHD,B72,MATCH(TEMPLATE_SPHERE,TEMPLATE_SPHERE_LIST_FOR_NOTE,0))</f>
        <v>0</v>
      </c>
      <c r="K72" s="1697">
        <f>INDEX(TEMPLATE_NOTE_POINT_FHD,B72,MATCH(TEMPLATE_SPHERE,TEMPLATE_SPHERE_LIST_FOR_NOTE,0))</f>
        <v>0</v>
      </c>
      <c r="L72" s="1536" t="str">
        <f>IF(I72=0,"",I72)</f>
        <v/>
      </c>
      <c r="M72" s="1536" t="str">
        <f>IF(J72=0,"",J72)</f>
        <v/>
      </c>
      <c r="N72" s="1536" t="str">
        <f>IF(K72=0,"",K72)</f>
        <v/>
      </c>
      <c r="O72" s="1649"/>
      <c r="P72" s="1649"/>
      <c r="Q72" s="1649" t="s">
        <v>156</v>
      </c>
      <c r="R72" s="1649"/>
      <c r="S72" s="1649"/>
      <c r="T72" s="1535"/>
      <c r="U72" s="1535"/>
      <c r="V72" s="1535" t="s">
        <v>2251</v>
      </c>
      <c r="W72" s="1535"/>
      <c r="X72" s="1535"/>
      <c r="Y72" s="1692"/>
      <c r="Z72" s="1538"/>
      <c r="AA72" s="1541"/>
      <c r="AB72" s="1538"/>
      <c r="AC72" s="1538"/>
      <c r="AD72" s="1538"/>
    </row>
    <row customHeight="1" ht="36">
      <c r="A73" s="1537"/>
      <c r="B73" s="1591">
        <v>56</v>
      </c>
      <c r="C73" s="1535"/>
      <c r="D73" s="1659"/>
      <c r="E73" s="1535" t="s">
        <v>2238</v>
      </c>
      <c r="F73" s="1535"/>
      <c r="G73" s="1535"/>
      <c r="H73" s="1583"/>
      <c r="I73" s="1697">
        <f>INDEX(TEMPLATE_NUMBER_POINT_FHD,B73,MATCH(TEMPLATE_SPHERE,TEMPLATE_SPHERE_LIST_FOR_NOTE,0))</f>
        <v>0</v>
      </c>
      <c r="J73" s="1697">
        <f>INDEX(TEMPLATE_DATA_POINT_FHD,B73,MATCH(TEMPLATE_SPHERE,TEMPLATE_SPHERE_LIST_FOR_NOTE,0))</f>
        <v>0</v>
      </c>
      <c r="K73" s="1697">
        <f>INDEX(TEMPLATE_NOTE_POINT_FHD,B73,MATCH(TEMPLATE_SPHERE,TEMPLATE_SPHERE_LIST_FOR_NOTE,0))</f>
        <v>0</v>
      </c>
      <c r="L73" s="1536" t="str">
        <f>IF(I73=0,"",I73)</f>
        <v/>
      </c>
      <c r="M73" s="1536" t="str">
        <f>IF(J73=0,"",J73)</f>
        <v/>
      </c>
      <c r="N73" s="1536" t="str">
        <f>IF(K73=0,"",K73)</f>
        <v/>
      </c>
      <c r="O73" s="1649"/>
      <c r="P73" s="1649"/>
      <c r="Q73" s="1649" t="s">
        <v>157</v>
      </c>
      <c r="R73" s="1649"/>
      <c r="S73" s="1649"/>
      <c r="T73" s="1535"/>
      <c r="U73" s="1535"/>
      <c r="V73" s="1535" t="s">
        <v>2252</v>
      </c>
      <c r="W73" s="1535"/>
      <c r="X73" s="1535"/>
      <c r="Y73" s="1692"/>
      <c r="Z73" s="1538"/>
      <c r="AA73" s="1541"/>
      <c r="AB73" s="1538"/>
      <c r="AC73" s="1538"/>
      <c r="AD73" s="1538"/>
    </row>
    <row customHeight="1" ht="18">
      <c r="A74" s="1537"/>
      <c r="B74" s="1591">
        <v>57</v>
      </c>
      <c r="C74" s="1535"/>
      <c r="D74" s="1659"/>
      <c r="E74" s="1535" t="s">
        <v>2247</v>
      </c>
      <c r="F74" s="1535"/>
      <c r="G74" s="1535"/>
      <c r="H74" s="1583"/>
      <c r="I74" s="1697">
        <f>INDEX(TEMPLATE_NUMBER_POINT_FHD,B74,MATCH(TEMPLATE_SPHERE,TEMPLATE_SPHERE_LIST_FOR_NOTE,0))</f>
        <v>0</v>
      </c>
      <c r="J74" s="1697">
        <f>INDEX(TEMPLATE_DATA_POINT_FHD,B74,MATCH(TEMPLATE_SPHERE,TEMPLATE_SPHERE_LIST_FOR_NOTE,0))</f>
        <v>0</v>
      </c>
      <c r="K74" s="1697">
        <f>INDEX(TEMPLATE_NOTE_POINT_FHD,B74,MATCH(TEMPLATE_SPHERE,TEMPLATE_SPHERE_LIST_FOR_NOTE,0))</f>
        <v>0</v>
      </c>
      <c r="L74" s="1536" t="str">
        <f>IF(I74=0,"",I74)</f>
        <v/>
      </c>
      <c r="M74" s="1536" t="str">
        <f>IF(J74=0,"",J74)</f>
        <v/>
      </c>
      <c r="N74" s="1536" t="str">
        <f>IF(K74=0,"",K74)</f>
        <v/>
      </c>
      <c r="O74" s="1649"/>
      <c r="P74" s="1649"/>
      <c r="Q74" s="1649" t="s">
        <v>158</v>
      </c>
      <c r="R74" s="1649"/>
      <c r="S74" s="1649"/>
      <c r="T74" s="1535"/>
      <c r="U74" s="1535"/>
      <c r="V74" s="1535" t="s">
        <v>2253</v>
      </c>
      <c r="W74" s="1535"/>
      <c r="X74" s="1535"/>
      <c r="Y74" s="1692"/>
      <c r="Z74" s="1538"/>
      <c r="AA74" s="1541"/>
      <c r="AB74" s="1538"/>
      <c r="AC74" s="1538"/>
      <c r="AD74" s="1538"/>
    </row>
    <row customHeight="1" ht="18">
      <c r="A75" s="1537"/>
      <c r="B75" s="1591">
        <v>58</v>
      </c>
      <c r="C75" s="1535"/>
      <c r="D75" s="1659"/>
      <c r="E75" s="1535"/>
      <c r="F75" s="1535" t="s">
        <v>2232</v>
      </c>
      <c r="G75" s="1535"/>
      <c r="H75" s="1583"/>
      <c r="I75" s="1697">
        <f>INDEX(TEMPLATE_NUMBER_POINT_FHD,B75,MATCH(TEMPLATE_SPHERE,TEMPLATE_SPHERE_LIST_FOR_NOTE,0))</f>
        <v>0</v>
      </c>
      <c r="J75" s="1697">
        <f>INDEX(TEMPLATE_DATA_POINT_FHD,B75,MATCH(TEMPLATE_SPHERE,TEMPLATE_SPHERE_LIST_FOR_NOTE,0))</f>
        <v>0</v>
      </c>
      <c r="K75" s="1697">
        <f>INDEX(TEMPLATE_NOTE_POINT_FHD,B75,MATCH(TEMPLATE_SPHERE,TEMPLATE_SPHERE_LIST_FOR_NOTE,0))</f>
        <v>0</v>
      </c>
      <c r="L75" s="1536" t="str">
        <f>IF(I75=0,"",I75)</f>
        <v/>
      </c>
      <c r="M75" s="1536" t="str">
        <f>IF(J75=0,"",J75)</f>
        <v/>
      </c>
      <c r="N75" s="1536" t="str">
        <f>IF(K75=0,"",K75)</f>
        <v/>
      </c>
      <c r="O75" s="1649"/>
      <c r="P75" s="1649"/>
      <c r="Q75" s="1649"/>
      <c r="R75" s="1649" t="s">
        <v>94</v>
      </c>
      <c r="S75" s="1649"/>
      <c r="T75" s="1535"/>
      <c r="U75" s="1535"/>
      <c r="V75" s="1535"/>
      <c r="W75" s="1535" t="s">
        <v>2254</v>
      </c>
      <c r="X75" s="1535"/>
      <c r="Y75" s="1692"/>
      <c r="Z75" s="1538"/>
      <c r="AA75" s="1541"/>
      <c r="AB75" s="1538"/>
      <c r="AC75" s="1538"/>
      <c r="AD75" s="1538"/>
    </row>
    <row customHeight="1" ht="36">
      <c r="A76" s="1537"/>
      <c r="B76" s="1591">
        <v>59</v>
      </c>
      <c r="C76" s="1535"/>
      <c r="D76" s="1659"/>
      <c r="E76" s="1535"/>
      <c r="F76" s="1535" t="s">
        <v>2234</v>
      </c>
      <c r="G76" s="1535"/>
      <c r="H76" s="1583"/>
      <c r="I76" s="1697">
        <f>INDEX(TEMPLATE_NUMBER_POINT_FHD,B76,MATCH(TEMPLATE_SPHERE,TEMPLATE_SPHERE_LIST_FOR_NOTE,0))</f>
        <v>0</v>
      </c>
      <c r="J76" s="1697">
        <f>INDEX(TEMPLATE_DATA_POINT_FHD,B76,MATCH(TEMPLATE_SPHERE,TEMPLATE_SPHERE_LIST_FOR_NOTE,0))</f>
        <v>0</v>
      </c>
      <c r="K76" s="1697">
        <f>INDEX(TEMPLATE_NOTE_POINT_FHD,B76,MATCH(TEMPLATE_SPHERE,TEMPLATE_SPHERE_LIST_FOR_NOTE,0))</f>
        <v>0</v>
      </c>
      <c r="L76" s="1536" t="str">
        <f>IF(I76=0,"",I76)</f>
        <v/>
      </c>
      <c r="M76" s="1536" t="str">
        <f>IF(J76=0,"",J76)</f>
        <v/>
      </c>
      <c r="N76" s="1536" t="str">
        <f>IF(K76=0,"",K76)</f>
        <v/>
      </c>
      <c r="O76" s="1649"/>
      <c r="P76" s="1649"/>
      <c r="Q76" s="1649"/>
      <c r="R76" s="1649" t="s">
        <v>120</v>
      </c>
      <c r="S76" s="1649"/>
      <c r="T76" s="1535"/>
      <c r="U76" s="1535"/>
      <c r="V76" s="1535"/>
      <c r="W76" s="1535" t="s">
        <v>2255</v>
      </c>
      <c r="X76" s="1535"/>
      <c r="Y76" s="1692"/>
      <c r="Z76" s="1538"/>
      <c r="AA76" s="1541"/>
      <c r="AB76" s="1538"/>
      <c r="AC76" s="1538"/>
      <c r="AD76" s="1538"/>
    </row>
    <row customHeight="1" ht="18">
      <c r="A77" s="1537"/>
      <c r="B77" s="1591">
        <v>60</v>
      </c>
      <c r="C77" s="1535"/>
      <c r="D77" s="1659"/>
      <c r="E77" s="1535"/>
      <c r="F77" s="1535" t="s">
        <v>2236</v>
      </c>
      <c r="G77" s="1535"/>
      <c r="H77" s="1583"/>
      <c r="I77" s="1697">
        <f>INDEX(TEMPLATE_NUMBER_POINT_FHD,B77,MATCH(TEMPLATE_SPHERE,TEMPLATE_SPHERE_LIST_FOR_NOTE,0))</f>
        <v>0</v>
      </c>
      <c r="J77" s="1697">
        <f>INDEX(TEMPLATE_DATA_POINT_FHD,B77,MATCH(TEMPLATE_SPHERE,TEMPLATE_SPHERE_LIST_FOR_NOTE,0))</f>
        <v>0</v>
      </c>
      <c r="K77" s="1697">
        <f>INDEX(TEMPLATE_NOTE_POINT_FHD,B77,MATCH(TEMPLATE_SPHERE,TEMPLATE_SPHERE_LIST_FOR_NOTE,0))</f>
        <v>0</v>
      </c>
      <c r="L77" s="1536" t="str">
        <f>IF(I77=0,"",I77)</f>
        <v/>
      </c>
      <c r="M77" s="1536" t="str">
        <f>IF(J77=0,"",J77)</f>
        <v/>
      </c>
      <c r="N77" s="1536" t="str">
        <f>IF(K77=0,"",K77)</f>
        <v/>
      </c>
      <c r="O77" s="1649"/>
      <c r="P77" s="1649"/>
      <c r="Q77" s="1649"/>
      <c r="R77" s="1649" t="s">
        <v>156</v>
      </c>
      <c r="S77" s="1649"/>
      <c r="T77" s="1535"/>
      <c r="U77" s="1535"/>
      <c r="V77" s="1535"/>
      <c r="W77" s="1535" t="s">
        <v>2256</v>
      </c>
      <c r="X77" s="1535"/>
      <c r="Y77" s="1692"/>
      <c r="Z77" s="1538"/>
      <c r="AA77" s="1541"/>
      <c r="AB77" s="1538"/>
      <c r="AC77" s="1538"/>
      <c r="AD77" s="1538"/>
    </row>
    <row customHeight="1" ht="72">
      <c r="A78" s="1537"/>
      <c r="B78" s="1591">
        <v>61</v>
      </c>
      <c r="C78" s="1535" t="s">
        <v>2232</v>
      </c>
      <c r="D78" s="1659"/>
      <c r="E78" s="1535"/>
      <c r="F78" s="1535"/>
      <c r="G78" s="1535"/>
      <c r="H78" s="1583"/>
      <c r="I78" s="1697" t="str">
        <f>INDEX(TEMPLATE_NUMBER_POINT_FHD,B78,MATCH(TEMPLATE_SPHERE,TEMPLATE_SPHERE_LIST_FOR_NOTE,0))</f>
        <v>7</v>
      </c>
      <c r="J78" s="1697"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697"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536" t="str">
        <f>IF(I78=0,"",I78)</f>
        <v>7</v>
      </c>
      <c r="M78" s="1536"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536"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649" t="s">
        <v>94</v>
      </c>
      <c r="P78" s="1649"/>
      <c r="Q78" s="1649"/>
      <c r="R78" s="1649"/>
      <c r="S78" s="1649"/>
      <c r="T78" s="1535" t="s">
        <v>708</v>
      </c>
      <c r="U78" s="1535"/>
      <c r="V78" s="1535"/>
      <c r="W78" s="1535"/>
      <c r="X78" s="1535"/>
      <c r="Y78" s="1692"/>
      <c r="Z78" s="1538" t="s">
        <v>2257</v>
      </c>
      <c r="AA78" s="1541"/>
      <c r="AB78" s="1538"/>
      <c r="AC78" s="1538"/>
      <c r="AD78" s="1538"/>
    </row>
    <row customHeight="1" ht="36">
      <c r="A79" s="1537"/>
      <c r="B79" s="1591">
        <v>62</v>
      </c>
      <c r="C79" s="1535" t="s">
        <v>2234</v>
      </c>
      <c r="D79" s="1659"/>
      <c r="E79" s="1535"/>
      <c r="F79" s="1535"/>
      <c r="G79" s="1535"/>
      <c r="H79" s="1583"/>
      <c r="I79" s="1697" t="str">
        <f>INDEX(TEMPLATE_NUMBER_POINT_FHD,B79,MATCH(TEMPLATE_SPHERE,TEMPLATE_SPHERE_LIST_FOR_NOTE,0))</f>
        <v>8</v>
      </c>
      <c r="J79" s="1697"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697"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536" t="str">
        <f>IF(I79=0,"",I79)</f>
        <v>8</v>
      </c>
      <c r="M79" s="1536" t="str">
        <f>IF(J79=0,"",J79)</f>
        <v>Тепловая нагрузка по договорам, заключенным в рамках осуществления регулируемых видов деятельности</v>
      </c>
      <c r="N79" s="1536"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649" t="s">
        <v>120</v>
      </c>
      <c r="P79" s="1649"/>
      <c r="Q79" s="1649"/>
      <c r="R79" s="1649"/>
      <c r="S79" s="1649"/>
      <c r="T79" s="1535" t="s">
        <v>2258</v>
      </c>
      <c r="U79" s="1535"/>
      <c r="V79" s="1535"/>
      <c r="W79" s="1535"/>
      <c r="X79" s="1535"/>
      <c r="Y79" s="1692"/>
      <c r="Z79" s="1538" t="s">
        <v>2259</v>
      </c>
      <c r="AA79" s="1541"/>
      <c r="AB79" s="1538"/>
      <c r="AC79" s="1538"/>
      <c r="AD79" s="1538"/>
    </row>
    <row customHeight="1" ht="45">
      <c r="A80" s="1537"/>
      <c r="B80" s="1591">
        <v>63</v>
      </c>
      <c r="C80" s="1535" t="s">
        <v>2236</v>
      </c>
      <c r="D80" s="1659"/>
      <c r="E80" s="1535"/>
      <c r="F80" s="1535"/>
      <c r="G80" s="1535"/>
      <c r="H80" s="1583"/>
      <c r="I80" s="1697" t="str">
        <f>INDEX(TEMPLATE_NUMBER_POINT_FHD,B80,MATCH(TEMPLATE_SPHERE,TEMPLATE_SPHERE_LIST_FOR_NOTE,0))</f>
        <v>9</v>
      </c>
      <c r="J80" s="1697"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697"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536" t="str">
        <f>IF(I80=0,"",I80)</f>
        <v>9</v>
      </c>
      <c r="M80" s="1536" t="str">
        <f>IF(J80=0,"",J80)</f>
        <v>Объем вырабатываемой регулируемой организацией тепловой энергии в рамках осуществления регулируемых видов деятельности</v>
      </c>
      <c r="N80" s="1536"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649" t="s">
        <v>156</v>
      </c>
      <c r="P80" s="1649"/>
      <c r="Q80" s="1649"/>
      <c r="R80" s="1649"/>
      <c r="S80" s="1649"/>
      <c r="T80" s="1535" t="s">
        <v>2260</v>
      </c>
      <c r="U80" s="1535"/>
      <c r="V80" s="1535"/>
      <c r="W80" s="1535"/>
      <c r="X80" s="1535"/>
      <c r="Y80" s="1692"/>
      <c r="Z80" s="1538" t="s">
        <v>2261</v>
      </c>
      <c r="AA80" s="1541"/>
      <c r="AB80" s="1538"/>
      <c r="AC80" s="1538"/>
      <c r="AD80" s="1538"/>
    </row>
    <row customHeight="1" ht="36">
      <c r="A81" s="1537"/>
      <c r="B81" s="1591">
        <v>64</v>
      </c>
      <c r="C81" s="1535" t="s">
        <v>2238</v>
      </c>
      <c r="D81" s="1659"/>
      <c r="E81" s="1535"/>
      <c r="F81" s="1535"/>
      <c r="G81" s="1535"/>
      <c r="H81" s="1583"/>
      <c r="I81" s="1697" t="str">
        <f>INDEX(TEMPLATE_NUMBER_POINT_FHD,B81,MATCH(TEMPLATE_SPHERE,TEMPLATE_SPHERE_LIST_FOR_NOTE,0))</f>
        <v>9.1</v>
      </c>
      <c r="J81" s="1697"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697" t="str">
        <f>INDEX(TEMPLATE_NOTE_POINT_FHD,B81,MATCH(TEMPLATE_SPHERE,TEMPLATE_SPHERE_LIST_FOR_NOTE,0))</f>
        <v>Информация указывается только едиными теплоснабжающими организациями.</v>
      </c>
      <c r="L81" s="1536" t="str">
        <f>IF(I81=0,"",I81)</f>
        <v>9.1</v>
      </c>
      <c r="M81" s="1536" t="str">
        <f>IF(J81=0,"",J81)</f>
        <v>Объем приобретаемой регулируемой организацией тепловой энергии в рамках осуществления регулируемых видов деятельности</v>
      </c>
      <c r="N81" s="1536" t="str">
        <f>IF(K81=0,"",K81)</f>
        <v>Информация указывается только едиными теплоснабжающими организациями.</v>
      </c>
      <c r="O81" s="1649" t="s">
        <v>2144</v>
      </c>
      <c r="P81" s="1649"/>
      <c r="Q81" s="1649"/>
      <c r="R81" s="1649"/>
      <c r="S81" s="1649"/>
      <c r="T81" s="1535" t="s">
        <v>2262</v>
      </c>
      <c r="U81" s="1535"/>
      <c r="V81" s="1535"/>
      <c r="W81" s="1535"/>
      <c r="X81" s="1535"/>
      <c r="Y81" s="1692"/>
      <c r="Z81" s="1538" t="s">
        <v>2263</v>
      </c>
      <c r="AA81" s="1541"/>
      <c r="AB81" s="1538"/>
      <c r="AC81" s="1538"/>
      <c r="AD81" s="1538"/>
    </row>
    <row customHeight="1" ht="90">
      <c r="A82" s="1537"/>
      <c r="B82" s="1591">
        <v>65</v>
      </c>
      <c r="C82" s="1535" t="s">
        <v>2247</v>
      </c>
      <c r="D82" s="1659"/>
      <c r="E82" s="1535"/>
      <c r="F82" s="1535"/>
      <c r="G82" s="1535"/>
      <c r="H82" s="1583"/>
      <c r="I82" s="1697" t="str">
        <f>INDEX(TEMPLATE_NUMBER_POINT_FHD,B82,MATCH(TEMPLATE_SPHERE,TEMPLATE_SPHERE_LIST_FOR_NOTE,0))</f>
        <v>10</v>
      </c>
      <c r="J82" s="1697"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697"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536" t="str">
        <f>IF(I82=0,"",I82)</f>
        <v>10</v>
      </c>
      <c r="M82" s="1536"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536"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649" t="s">
        <v>157</v>
      </c>
      <c r="P82" s="1649"/>
      <c r="Q82" s="1649"/>
      <c r="R82" s="1649"/>
      <c r="S82" s="1649"/>
      <c r="T82" s="1535" t="s">
        <v>2264</v>
      </c>
      <c r="U82" s="1535"/>
      <c r="V82" s="1535"/>
      <c r="W82" s="1535"/>
      <c r="X82" s="1535"/>
      <c r="Y82" s="1692"/>
      <c r="Z82" s="1538" t="s">
        <v>2265</v>
      </c>
      <c r="AA82" s="1541"/>
      <c r="AB82" s="1538"/>
      <c r="AC82" s="1538"/>
      <c r="AD82" s="1538"/>
    </row>
    <row customHeight="1" ht="9">
      <c r="A83" s="1537"/>
      <c r="B83" s="1591">
        <v>66</v>
      </c>
      <c r="C83" s="1535"/>
      <c r="D83" s="1659"/>
      <c r="E83" s="1535"/>
      <c r="F83" s="1535"/>
      <c r="G83" s="1535"/>
      <c r="H83" s="1583"/>
      <c r="I83" s="1697" t="str">
        <f>INDEX(TEMPLATE_NUMBER_POINT_FHD,B83,MATCH(TEMPLATE_SPHERE,TEMPLATE_SPHERE_LIST_FOR_NOTE,0))</f>
        <v>10.1</v>
      </c>
      <c r="J83" s="1697" t="str">
        <f>INDEX(TEMPLATE_DATA_POINT_FHD,B83,MATCH(TEMPLATE_SPHERE,TEMPLATE_SPHERE_LIST_FOR_NOTE,0))</f>
        <v>По приборам учёта </v>
      </c>
      <c r="K83" s="1697">
        <f>INDEX(TEMPLATE_NOTE_POINT_FHD,B83,MATCH(TEMPLATE_SPHERE,TEMPLATE_SPHERE_LIST_FOR_NOTE,0))</f>
        <v>0</v>
      </c>
      <c r="L83" s="1536" t="str">
        <f>IF(I83=0,"",I83)</f>
        <v>10.1</v>
      </c>
      <c r="M83" s="1536" t="str">
        <f>IF(J83=0,"",J83)</f>
        <v>По приборам учёта </v>
      </c>
      <c r="N83" s="1536" t="str">
        <f>IF(K83=0,"",K83)</f>
        <v/>
      </c>
      <c r="O83" s="1649" t="s">
        <v>2153</v>
      </c>
      <c r="P83" s="1649"/>
      <c r="Q83" s="1649"/>
      <c r="R83" s="1649"/>
      <c r="S83" s="1649"/>
      <c r="T83" s="1535" t="s">
        <v>2266</v>
      </c>
      <c r="U83" s="1535"/>
      <c r="V83" s="1535"/>
      <c r="W83" s="1535"/>
      <c r="X83" s="1535"/>
      <c r="Y83" s="1692"/>
      <c r="Z83" s="1538"/>
      <c r="AA83" s="1541"/>
      <c r="AB83" s="1538"/>
      <c r="AC83" s="1538"/>
      <c r="AD83" s="1538"/>
    </row>
    <row customHeight="1" ht="54">
      <c r="A84" s="1537"/>
      <c r="B84" s="1591">
        <v>67</v>
      </c>
      <c r="C84" s="1535"/>
      <c r="D84" s="1659"/>
      <c r="E84" s="1535"/>
      <c r="F84" s="1535"/>
      <c r="G84" s="1535"/>
      <c r="H84" s="1583"/>
      <c r="I84" s="1697" t="str">
        <f>INDEX(TEMPLATE_NUMBER_POINT_FHD,B84,MATCH(TEMPLATE_SPHERE,TEMPLATE_SPHERE_LIST_FOR_NOTE,0))</f>
        <v>10.1.1</v>
      </c>
      <c r="J84" s="1697"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697">
        <f>INDEX(TEMPLATE_NOTE_POINT_FHD,B84,MATCH(TEMPLATE_SPHERE,TEMPLATE_SPHERE_LIST_FOR_NOTE,0))</f>
        <v>0</v>
      </c>
      <c r="L84" s="1536" t="str">
        <f>IF(I84=0,"",I84)</f>
        <v>10.1.1</v>
      </c>
      <c r="M84" s="1536"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536" t="str">
        <f>IF(K84=0,"",K84)</f>
        <v/>
      </c>
      <c r="O84" s="1649" t="s">
        <v>2267</v>
      </c>
      <c r="P84" s="1649"/>
      <c r="Q84" s="1649"/>
      <c r="R84" s="1649"/>
      <c r="S84" s="1649"/>
      <c r="T84" s="1535" t="s">
        <v>2268</v>
      </c>
      <c r="U84" s="1535"/>
      <c r="V84" s="1535"/>
      <c r="W84" s="1535"/>
      <c r="X84" s="1535"/>
      <c r="Y84" s="1692"/>
      <c r="Z84" s="1538"/>
      <c r="AA84" s="1541"/>
      <c r="AB84" s="1538"/>
      <c r="AC84" s="1538"/>
      <c r="AD84" s="1538"/>
    </row>
    <row customHeight="1" ht="9">
      <c r="A85" s="1537"/>
      <c r="B85" s="1591">
        <v>68</v>
      </c>
      <c r="C85" s="1535"/>
      <c r="D85" s="1659"/>
      <c r="E85" s="1535"/>
      <c r="F85" s="1535"/>
      <c r="G85" s="1535"/>
      <c r="H85" s="1583"/>
      <c r="I85" s="1697" t="str">
        <f>INDEX(TEMPLATE_NUMBER_POINT_FHD,B85,MATCH(TEMPLATE_SPHERE,TEMPLATE_SPHERE_LIST_FOR_NOTE,0))</f>
        <v>10.2</v>
      </c>
      <c r="J85" s="1697" t="str">
        <f>INDEX(TEMPLATE_DATA_POINT_FHD,B85,MATCH(TEMPLATE_SPHERE,TEMPLATE_SPHERE_LIST_FOR_NOTE,0))</f>
        <v>Расчётным путём</v>
      </c>
      <c r="K85" s="1697">
        <f>INDEX(TEMPLATE_NOTE_POINT_FHD,B85,MATCH(TEMPLATE_SPHERE,TEMPLATE_SPHERE_LIST_FOR_NOTE,0))</f>
        <v>0</v>
      </c>
      <c r="L85" s="1536" t="str">
        <f>IF(I85=0,"",I85)</f>
        <v>10.2</v>
      </c>
      <c r="M85" s="1536" t="str">
        <f>IF(J85=0,"",J85)</f>
        <v>Расчётным путём</v>
      </c>
      <c r="N85" s="1536" t="str">
        <f>IF(K85=0,"",K85)</f>
        <v/>
      </c>
      <c r="O85" s="1649" t="s">
        <v>2157</v>
      </c>
      <c r="P85" s="1649"/>
      <c r="Q85" s="1649"/>
      <c r="R85" s="1649"/>
      <c r="S85" s="1649"/>
      <c r="T85" s="1535" t="s">
        <v>2269</v>
      </c>
      <c r="U85" s="1535"/>
      <c r="V85" s="1535"/>
      <c r="W85" s="1535"/>
      <c r="X85" s="1535"/>
      <c r="Y85" s="1692"/>
      <c r="Z85" s="1538"/>
      <c r="AA85" s="1541"/>
      <c r="AB85" s="1538"/>
      <c r="AC85" s="1538"/>
      <c r="AD85" s="1538"/>
    </row>
    <row customHeight="1" ht="27">
      <c r="A86" s="1537"/>
      <c r="B86" s="1591">
        <v>69</v>
      </c>
      <c r="C86" s="1535"/>
      <c r="D86" s="1659"/>
      <c r="E86" s="1535"/>
      <c r="F86" s="1535"/>
      <c r="G86" s="1535"/>
      <c r="H86" s="1583"/>
      <c r="I86" s="1697" t="str">
        <f>INDEX(TEMPLATE_NUMBER_POINT_FHD,B86,MATCH(TEMPLATE_SPHERE,TEMPLATE_SPHERE_LIST_FOR_NOTE,0))</f>
        <v>10.3</v>
      </c>
      <c r="J86" s="1697" t="str">
        <f>INDEX(TEMPLATE_DATA_POINT_FHD,B86,MATCH(TEMPLATE_SPHERE,TEMPLATE_SPHERE_LIST_FOR_NOTE,0))</f>
        <v>По нормативам потребления коммунальных услуг и нормативам потребления коммунальных ресурсов</v>
      </c>
      <c r="K86" s="1697">
        <f>INDEX(TEMPLATE_NOTE_POINT_FHD,B86,MATCH(TEMPLATE_SPHERE,TEMPLATE_SPHERE_LIST_FOR_NOTE,0))</f>
        <v>0</v>
      </c>
      <c r="L86" s="1536" t="str">
        <f>IF(I86=0,"",I86)</f>
        <v>10.3</v>
      </c>
      <c r="M86" s="1536" t="str">
        <f>IF(J86=0,"",J86)</f>
        <v>По нормативам потребления коммунальных услуг и нормативам потребления коммунальных ресурсов</v>
      </c>
      <c r="N86" s="1536" t="str">
        <f>IF(K86=0,"",K86)</f>
        <v/>
      </c>
      <c r="O86" s="1649" t="s">
        <v>2270</v>
      </c>
      <c r="P86" s="1649"/>
      <c r="Q86" s="1649"/>
      <c r="R86" s="1649"/>
      <c r="S86" s="1649"/>
      <c r="T86" s="1535" t="s">
        <v>2271</v>
      </c>
      <c r="U86" s="1535"/>
      <c r="V86" s="1535"/>
      <c r="W86" s="1535"/>
      <c r="X86" s="1535"/>
      <c r="Y86" s="1692"/>
      <c r="Z86" s="1538"/>
      <c r="AA86" s="1541"/>
      <c r="AB86" s="1538"/>
      <c r="AC86" s="1538"/>
      <c r="AD86" s="1538"/>
    </row>
    <row customHeight="1" ht="36">
      <c r="A87" s="1537"/>
      <c r="B87" s="1591">
        <v>70</v>
      </c>
      <c r="C87" s="1535" t="s">
        <v>2272</v>
      </c>
      <c r="D87" s="1659"/>
      <c r="E87" s="1535"/>
      <c r="F87" s="1535"/>
      <c r="G87" s="1535"/>
      <c r="H87" s="1583"/>
      <c r="I87" s="1697" t="str">
        <f>INDEX(TEMPLATE_NUMBER_POINT_FHD,B87,MATCH(TEMPLATE_SPHERE,TEMPLATE_SPHERE_LIST_FOR_NOTE,0))</f>
        <v>11</v>
      </c>
      <c r="J87" s="1697"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697">
        <f>INDEX(TEMPLATE_NOTE_POINT_FHD,B87,MATCH(TEMPLATE_SPHERE,TEMPLATE_SPHERE_LIST_FOR_NOTE,0))</f>
        <v>0</v>
      </c>
      <c r="L87" s="1536" t="str">
        <f>IF(I87=0,"",I87)</f>
        <v>11</v>
      </c>
      <c r="M87" s="1536" t="str">
        <f>IF(J87=0,"",J87)</f>
        <v>Нормативы технологических потерь при передаче тепловой энергии, теплоносителя по тепловым сетям, утвержденные уполномоченным органом</v>
      </c>
      <c r="N87" s="1536" t="str">
        <f>IF(K87=0,"",K87)</f>
        <v/>
      </c>
      <c r="O87" s="1649" t="s">
        <v>158</v>
      </c>
      <c r="P87" s="1649"/>
      <c r="Q87" s="1649"/>
      <c r="R87" s="1649"/>
      <c r="S87" s="1649"/>
      <c r="T87" s="1535" t="s">
        <v>2273</v>
      </c>
      <c r="U87" s="1535"/>
      <c r="V87" s="1535"/>
      <c r="W87" s="1535"/>
      <c r="X87" s="1535"/>
      <c r="Y87" s="1692"/>
      <c r="Z87" s="1538"/>
      <c r="AA87" s="1541"/>
      <c r="AB87" s="1538"/>
      <c r="AC87" s="1538"/>
      <c r="AD87" s="1538"/>
    </row>
    <row customHeight="1" ht="18">
      <c r="A88" s="1537"/>
      <c r="B88" s="1591">
        <v>71</v>
      </c>
      <c r="C88" s="1535" t="s">
        <v>2274</v>
      </c>
      <c r="D88" s="1659"/>
      <c r="E88" s="1535"/>
      <c r="F88" s="1535"/>
      <c r="G88" s="1535"/>
      <c r="H88" s="1583"/>
      <c r="I88" s="1697" t="str">
        <f>INDEX(TEMPLATE_NUMBER_POINT_FHD,B88,MATCH(TEMPLATE_SPHERE,TEMPLATE_SPHERE_LIST_FOR_NOTE,0))</f>
        <v>12</v>
      </c>
      <c r="J88" s="1697" t="str">
        <f>INDEX(TEMPLATE_DATA_POINT_FHD,B88,MATCH(TEMPLATE_SPHERE,TEMPLATE_SPHERE_LIST_FOR_NOTE,0))</f>
        <v>Фактический объем потерь при передаче тепловой энергии</v>
      </c>
      <c r="K88" s="1697">
        <f>INDEX(TEMPLATE_NOTE_POINT_FHD,B88,MATCH(TEMPLATE_SPHERE,TEMPLATE_SPHERE_LIST_FOR_NOTE,0))</f>
        <v>0</v>
      </c>
      <c r="L88" s="1536" t="str">
        <f>IF(I88=0,"",I88)</f>
        <v>12</v>
      </c>
      <c r="M88" s="1536" t="str">
        <f>IF(J88=0,"",J88)</f>
        <v>Фактический объем потерь при передаче тепловой энергии</v>
      </c>
      <c r="N88" s="1536" t="str">
        <f>IF(K88=0,"",K88)</f>
        <v/>
      </c>
      <c r="O88" s="1649" t="s">
        <v>159</v>
      </c>
      <c r="P88" s="1649"/>
      <c r="Q88" s="1649"/>
      <c r="R88" s="1649"/>
      <c r="S88" s="1649"/>
      <c r="T88" s="1535" t="s">
        <v>740</v>
      </c>
      <c r="U88" s="1535"/>
      <c r="V88" s="1535"/>
      <c r="W88" s="1535"/>
      <c r="X88" s="1535"/>
      <c r="Y88" s="1692"/>
      <c r="Z88" s="1538"/>
      <c r="AA88" s="1541"/>
      <c r="AB88" s="1538"/>
      <c r="AC88" s="1538"/>
      <c r="AD88" s="1538"/>
    </row>
    <row customHeight="1" ht="18">
      <c r="A89" s="1537"/>
      <c r="B89" s="1591">
        <v>72</v>
      </c>
      <c r="C89" s="1535" t="s">
        <v>2275</v>
      </c>
      <c r="D89" s="1659" t="s">
        <v>2272</v>
      </c>
      <c r="E89" s="1535" t="s">
        <v>2272</v>
      </c>
      <c r="F89" s="1535" t="s">
        <v>2238</v>
      </c>
      <c r="G89" s="1535"/>
      <c r="H89" s="1583"/>
      <c r="I89" s="1697" t="str">
        <f>INDEX(TEMPLATE_NUMBER_POINT_FHD,B89,MATCH(TEMPLATE_SPHERE,TEMPLATE_SPHERE_LIST_FOR_NOTE,0))</f>
        <v>13</v>
      </c>
      <c r="J89" s="1697" t="str">
        <f>INDEX(TEMPLATE_DATA_POINT_FHD,B89,MATCH(TEMPLATE_SPHERE,TEMPLATE_SPHERE_LIST_FOR_NOTE,0))</f>
        <v>Среднесписочная численность основного производственного персонала</v>
      </c>
      <c r="K89" s="1697">
        <f>INDEX(TEMPLATE_NOTE_POINT_FHD,B89,MATCH(TEMPLATE_SPHERE,TEMPLATE_SPHERE_LIST_FOR_NOTE,0))</f>
        <v>0</v>
      </c>
      <c r="L89" s="1536" t="str">
        <f>IF(I89=0,"",I89)</f>
        <v>13</v>
      </c>
      <c r="M89" s="1536" t="str">
        <f>IF(J89=0,"",J89)</f>
        <v>Среднесписочная численность основного производственного персонала</v>
      </c>
      <c r="N89" s="1536" t="str">
        <f>IF(K89=0,"",K89)</f>
        <v/>
      </c>
      <c r="O89" s="1649" t="s">
        <v>160</v>
      </c>
      <c r="P89" s="1649" t="s">
        <v>159</v>
      </c>
      <c r="Q89" s="1649" t="s">
        <v>159</v>
      </c>
      <c r="R89" s="1649" t="s">
        <v>157</v>
      </c>
      <c r="S89" s="1649"/>
      <c r="T89" s="1535" t="s">
        <v>748</v>
      </c>
      <c r="U89" s="1535" t="s">
        <v>748</v>
      </c>
      <c r="V89" s="1535" t="s">
        <v>748</v>
      </c>
      <c r="W89" s="1535" t="s">
        <v>748</v>
      </c>
      <c r="X89" s="1535"/>
      <c r="Y89" s="1692"/>
      <c r="Z89" s="1538"/>
      <c r="AA89" s="1541"/>
      <c r="AB89" s="1538"/>
      <c r="AC89" s="1538"/>
      <c r="AD89" s="1538"/>
    </row>
    <row customHeight="1" ht="27">
      <c r="A90" s="1537"/>
      <c r="B90" s="1591">
        <v>73</v>
      </c>
      <c r="C90" s="1535" t="s">
        <v>2276</v>
      </c>
      <c r="D90" s="1659"/>
      <c r="E90" s="1535"/>
      <c r="F90" s="1535"/>
      <c r="G90" s="1535"/>
      <c r="H90" s="1583"/>
      <c r="I90" s="1697" t="str">
        <f>INDEX(TEMPLATE_NUMBER_POINT_FHD,B90,MATCH(TEMPLATE_SPHERE,TEMPLATE_SPHERE_LIST_FOR_NOTE,0))</f>
        <v>14</v>
      </c>
      <c r="J90" s="1697" t="str">
        <f>INDEX(TEMPLATE_DATA_POINT_FHD,B90,MATCH(TEMPLATE_SPHERE,TEMPLATE_SPHERE_LIST_FOR_NOTE,0))</f>
        <v>Среднесписочная численность административно-управленческого персонала</v>
      </c>
      <c r="K90" s="1697">
        <f>INDEX(TEMPLATE_NOTE_POINT_FHD,B90,MATCH(TEMPLATE_SPHERE,TEMPLATE_SPHERE_LIST_FOR_NOTE,0))</f>
        <v>0</v>
      </c>
      <c r="L90" s="1536" t="str">
        <f>IF(I90=0,"",I90)</f>
        <v>14</v>
      </c>
      <c r="M90" s="1536" t="str">
        <f>IF(J90=0,"",J90)</f>
        <v>Среднесписочная численность административно-управленческого персонала</v>
      </c>
      <c r="N90" s="1536" t="str">
        <f>IF(K90=0,"",K90)</f>
        <v/>
      </c>
      <c r="O90" s="1649" t="s">
        <v>161</v>
      </c>
      <c r="P90" s="1649"/>
      <c r="Q90" s="1649"/>
      <c r="R90" s="1649"/>
      <c r="S90" s="1649"/>
      <c r="T90" s="1535" t="s">
        <v>750</v>
      </c>
      <c r="U90" s="1535"/>
      <c r="V90" s="1535"/>
      <c r="W90" s="1535"/>
      <c r="X90" s="1535"/>
      <c r="Y90" s="1692"/>
      <c r="Z90" s="1538"/>
      <c r="AA90" s="1541"/>
      <c r="AB90" s="1538"/>
      <c r="AC90" s="1538"/>
      <c r="AD90" s="1538"/>
    </row>
    <row customHeight="1" ht="18">
      <c r="A91" s="1537"/>
      <c r="B91" s="1591">
        <v>74</v>
      </c>
      <c r="C91" s="1535"/>
      <c r="D91" s="1659" t="s">
        <v>2274</v>
      </c>
      <c r="E91" s="1535" t="s">
        <v>2274</v>
      </c>
      <c r="F91" s="1535"/>
      <c r="G91" s="1535"/>
      <c r="H91" s="1583"/>
      <c r="I91" s="1697">
        <f>INDEX(TEMPLATE_NUMBER_POINT_FHD,B91,MATCH(TEMPLATE_SPHERE,TEMPLATE_SPHERE_LIST_FOR_NOTE,0))</f>
        <v>0</v>
      </c>
      <c r="J91" s="1697">
        <f>INDEX(TEMPLATE_DATA_POINT_FHD,B91,MATCH(TEMPLATE_SPHERE,TEMPLATE_SPHERE_LIST_FOR_NOTE,0))</f>
        <v>0</v>
      </c>
      <c r="K91" s="1697">
        <f>INDEX(TEMPLATE_NOTE_POINT_FHD,B91,MATCH(TEMPLATE_SPHERE,TEMPLATE_SPHERE_LIST_FOR_NOTE,0))</f>
        <v>0</v>
      </c>
      <c r="L91" s="1536" t="str">
        <f>IF(I91=0,"",I91)</f>
        <v/>
      </c>
      <c r="M91" s="1536" t="str">
        <f>IF(J91=0,"",J91)</f>
        <v/>
      </c>
      <c r="N91" s="1536" t="str">
        <f>IF(K91=0,"",K91)</f>
        <v/>
      </c>
      <c r="O91" s="1649"/>
      <c r="P91" s="1649" t="s">
        <v>160</v>
      </c>
      <c r="Q91" s="1649" t="s">
        <v>160</v>
      </c>
      <c r="R91" s="1649"/>
      <c r="S91" s="1649"/>
      <c r="T91" s="1535"/>
      <c r="U91" s="1535" t="s">
        <v>2277</v>
      </c>
      <c r="V91" s="1535" t="s">
        <v>2277</v>
      </c>
      <c r="W91" s="1535"/>
      <c r="X91" s="1535"/>
      <c r="Y91" s="1692"/>
      <c r="Z91" s="1538"/>
      <c r="AA91" s="1541"/>
      <c r="AB91" s="1538"/>
      <c r="AC91" s="1538"/>
      <c r="AD91" s="1538"/>
    </row>
    <row customHeight="1" ht="27">
      <c r="A92" s="1537"/>
      <c r="B92" s="1591">
        <v>75</v>
      </c>
      <c r="C92" s="1535"/>
      <c r="D92" s="1659" t="s">
        <v>2275</v>
      </c>
      <c r="E92" s="1535"/>
      <c r="F92" s="1535"/>
      <c r="G92" s="1535"/>
      <c r="H92" s="1583"/>
      <c r="I92" s="1697">
        <f>INDEX(TEMPLATE_NUMBER_POINT_FHD,B92,MATCH(TEMPLATE_SPHERE,TEMPLATE_SPHERE_LIST_FOR_NOTE,0))</f>
        <v>0</v>
      </c>
      <c r="J92" s="1697">
        <f>INDEX(TEMPLATE_DATA_POINT_FHD,B92,MATCH(TEMPLATE_SPHERE,TEMPLATE_SPHERE_LIST_FOR_NOTE,0))</f>
        <v>0</v>
      </c>
      <c r="K92" s="1697">
        <f>INDEX(TEMPLATE_NOTE_POINT_FHD,B92,MATCH(TEMPLATE_SPHERE,TEMPLATE_SPHERE_LIST_FOR_NOTE,0))</f>
        <v>0</v>
      </c>
      <c r="L92" s="1536" t="str">
        <f>IF(I92=0,"",I92)</f>
        <v/>
      </c>
      <c r="M92" s="1536" t="str">
        <f>IF(J92=0,"",J92)</f>
        <v/>
      </c>
      <c r="N92" s="1536" t="str">
        <f>IF(K92=0,"",K92)</f>
        <v/>
      </c>
      <c r="O92" s="1649"/>
      <c r="P92" s="1649" t="s">
        <v>161</v>
      </c>
      <c r="Q92" s="1649"/>
      <c r="R92" s="1649"/>
      <c r="S92" s="1649"/>
      <c r="T92" s="1535"/>
      <c r="U92" s="1535" t="s">
        <v>2278</v>
      </c>
      <c r="V92" s="1535"/>
      <c r="W92" s="1535"/>
      <c r="X92" s="1535"/>
      <c r="Y92" s="1692"/>
      <c r="Z92" s="1538"/>
      <c r="AA92" s="1541" t="s">
        <v>2279</v>
      </c>
      <c r="AB92" s="1538"/>
      <c r="AC92" s="1538"/>
      <c r="AD92" s="1538"/>
    </row>
    <row customHeight="1" ht="27">
      <c r="A93" s="1537"/>
      <c r="B93" s="1591">
        <v>76</v>
      </c>
      <c r="C93" s="1535"/>
      <c r="D93" s="1659"/>
      <c r="E93" s="1535"/>
      <c r="F93" s="1535"/>
      <c r="G93" s="1535"/>
      <c r="H93" s="1583"/>
      <c r="I93" s="1697">
        <f>INDEX(TEMPLATE_NUMBER_POINT_FHD,B93,MATCH(TEMPLATE_SPHERE,TEMPLATE_SPHERE_LIST_FOR_NOTE,0))</f>
        <v>0</v>
      </c>
      <c r="J93" s="1697">
        <f>INDEX(TEMPLATE_DATA_POINT_FHD,B93,MATCH(TEMPLATE_SPHERE,TEMPLATE_SPHERE_LIST_FOR_NOTE,0))</f>
        <v>0</v>
      </c>
      <c r="K93" s="1697">
        <f>INDEX(TEMPLATE_NOTE_POINT_FHD,B93,MATCH(TEMPLATE_SPHERE,TEMPLATE_SPHERE_LIST_FOR_NOTE,0))</f>
        <v>0</v>
      </c>
      <c r="L93" s="1536" t="str">
        <f>IF(I93=0,"",I93)</f>
        <v/>
      </c>
      <c r="M93" s="1536" t="str">
        <f>IF(J93=0,"",J93)</f>
        <v/>
      </c>
      <c r="N93" s="1536" t="str">
        <f>IF(K93=0,"",K93)</f>
        <v/>
      </c>
      <c r="O93" s="1649"/>
      <c r="P93" s="1649" t="s">
        <v>2185</v>
      </c>
      <c r="Q93" s="1649"/>
      <c r="R93" s="1649"/>
      <c r="S93" s="1649"/>
      <c r="T93" s="1535"/>
      <c r="U93" s="1535" t="s">
        <v>2280</v>
      </c>
      <c r="V93" s="1535"/>
      <c r="W93" s="1535"/>
      <c r="X93" s="1535"/>
      <c r="Y93" s="1692"/>
      <c r="Z93" s="1538"/>
      <c r="AA93" s="1541" t="s">
        <v>2281</v>
      </c>
      <c r="AB93" s="1538"/>
      <c r="AC93" s="1538"/>
      <c r="AD93" s="1538"/>
    </row>
    <row customHeight="1" ht="45">
      <c r="A94" s="1537"/>
      <c r="B94" s="1591">
        <v>77</v>
      </c>
      <c r="C94" s="1535"/>
      <c r="D94" s="1659" t="s">
        <v>2276</v>
      </c>
      <c r="E94" s="1535"/>
      <c r="F94" s="1535"/>
      <c r="G94" s="1535"/>
      <c r="H94" s="1583"/>
      <c r="I94" s="1697">
        <f>INDEX(TEMPLATE_NUMBER_POINT_FHD,B94,MATCH(TEMPLATE_SPHERE,TEMPLATE_SPHERE_LIST_FOR_NOTE,0))</f>
        <v>0</v>
      </c>
      <c r="J94" s="1697">
        <f>INDEX(TEMPLATE_DATA_POINT_FHD,B94,MATCH(TEMPLATE_SPHERE,TEMPLATE_SPHERE_LIST_FOR_NOTE,0))</f>
        <v>0</v>
      </c>
      <c r="K94" s="1697">
        <f>INDEX(TEMPLATE_NOTE_POINT_FHD,B94,MATCH(TEMPLATE_SPHERE,TEMPLATE_SPHERE_LIST_FOR_NOTE,0))</f>
        <v>0</v>
      </c>
      <c r="L94" s="1536" t="str">
        <f>IF(I94=0,"",I94)</f>
        <v/>
      </c>
      <c r="M94" s="1536" t="str">
        <f>IF(J94=0,"",J94)</f>
        <v/>
      </c>
      <c r="N94" s="1536" t="str">
        <f>IF(K94=0,"",K94)</f>
        <v/>
      </c>
      <c r="O94" s="1649"/>
      <c r="P94" s="1649" t="s">
        <v>1536</v>
      </c>
      <c r="Q94" s="1649"/>
      <c r="R94" s="1649"/>
      <c r="S94" s="1649"/>
      <c r="T94" s="1535"/>
      <c r="U94" s="1535" t="s">
        <v>2282</v>
      </c>
      <c r="V94" s="1535"/>
      <c r="W94" s="1535"/>
      <c r="X94" s="1535"/>
      <c r="Y94" s="1692"/>
      <c r="Z94" s="1538"/>
      <c r="AA94" s="1541" t="s">
        <v>2283</v>
      </c>
      <c r="AB94" s="1538"/>
      <c r="AC94" s="1538"/>
      <c r="AD94" s="1538"/>
    </row>
    <row customHeight="1" ht="99">
      <c r="A95" s="1537"/>
      <c r="B95" s="1591">
        <v>78</v>
      </c>
      <c r="C95" s="1535" t="s">
        <v>2284</v>
      </c>
      <c r="D95" s="1659"/>
      <c r="E95" s="1535"/>
      <c r="F95" s="1535"/>
      <c r="G95" s="1535"/>
      <c r="H95" s="1583"/>
      <c r="I95" s="1697" t="str">
        <f>INDEX(TEMPLATE_NUMBER_POINT_FHD,B95,MATCH(TEMPLATE_SPHERE,TEMPLATE_SPHERE_LIST_FOR_NOTE,0))</f>
        <v>15</v>
      </c>
      <c r="J95" s="1697"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697">
        <f>INDEX(TEMPLATE_NOTE_POINT_FHD,B95,MATCH(TEMPLATE_SPHERE,TEMPLATE_SPHERE_LIST_FOR_NOTE,0))</f>
        <v>0</v>
      </c>
      <c r="L95" s="1536" t="str">
        <f>IF(I95=0,"",I95)</f>
        <v>15</v>
      </c>
      <c r="M95" s="1536"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536" t="str">
        <f>IF(K95=0,"",K95)</f>
        <v/>
      </c>
      <c r="O95" s="1649" t="s">
        <v>1536</v>
      </c>
      <c r="P95" s="1649"/>
      <c r="Q95" s="1649"/>
      <c r="R95" s="1649"/>
      <c r="S95" s="1649"/>
      <c r="T95" s="1535" t="s">
        <v>2285</v>
      </c>
      <c r="U95" s="1535"/>
      <c r="V95" s="1535"/>
      <c r="W95" s="1535"/>
      <c r="X95" s="1535"/>
      <c r="Y95" s="1692"/>
      <c r="Z95" s="1538"/>
      <c r="AA95" s="1541"/>
      <c r="AB95" s="1538"/>
      <c r="AC95" s="1538"/>
      <c r="AD95" s="1538"/>
    </row>
    <row customHeight="1" ht="99">
      <c r="A96" s="1537"/>
      <c r="B96" s="1591">
        <v>79</v>
      </c>
      <c r="C96" s="1535" t="s">
        <v>1221</v>
      </c>
      <c r="D96" s="1659"/>
      <c r="E96" s="1535"/>
      <c r="F96" s="1535"/>
      <c r="G96" s="1535"/>
      <c r="H96" s="1583"/>
      <c r="I96" s="1697" t="str">
        <f>INDEX(TEMPLATE_NUMBER_POINT_FHD,B96,MATCH(TEMPLATE_SPHERE,TEMPLATE_SPHERE_LIST_FOR_NOTE,0))</f>
        <v>16</v>
      </c>
      <c r="J96" s="1697"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697"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536" t="str">
        <f>IF(I96=0,"",I96)</f>
        <v>16</v>
      </c>
      <c r="M96" s="1536"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536"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649" t="s">
        <v>1542</v>
      </c>
      <c r="P96" s="1649"/>
      <c r="Q96" s="1649"/>
      <c r="R96" s="1649"/>
      <c r="S96" s="1649"/>
      <c r="T96" s="1535" t="s">
        <v>2286</v>
      </c>
      <c r="U96" s="1535"/>
      <c r="V96" s="1535"/>
      <c r="W96" s="1535"/>
      <c r="X96" s="1535"/>
      <c r="Y96" s="1692"/>
      <c r="Z96" s="1538" t="s">
        <v>2287</v>
      </c>
      <c r="AA96" s="1541"/>
      <c r="AB96" s="1538"/>
      <c r="AC96" s="1538"/>
      <c r="AD96" s="1538"/>
    </row>
    <row customHeight="1" ht="63">
      <c r="A97" s="1537"/>
      <c r="B97" s="1591">
        <v>80</v>
      </c>
      <c r="C97" s="1535" t="s">
        <v>2288</v>
      </c>
      <c r="D97" s="1659"/>
      <c r="E97" s="1535"/>
      <c r="F97" s="1535"/>
      <c r="G97" s="1535"/>
      <c r="H97" s="1583"/>
      <c r="I97" s="1697" t="str">
        <f>INDEX(TEMPLATE_NUMBER_POINT_FHD,B97,MATCH(TEMPLATE_SPHERE,TEMPLATE_SPHERE_LIST_FOR_NOTE,0))</f>
        <v>17</v>
      </c>
      <c r="J97" s="1697"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697"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536" t="str">
        <f>IF(I97=0,"",I97)</f>
        <v>17</v>
      </c>
      <c r="M97" s="1536"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536" t="str">
        <f>IF(K97=0,"",K97)</f>
        <v>Регулируемыми организациями указывается информация с по договорам, заключенным в рамках осуществления регулируемой деятельности.</v>
      </c>
      <c r="O97" s="1649" t="s">
        <v>1554</v>
      </c>
      <c r="P97" s="1649"/>
      <c r="Q97" s="1649"/>
      <c r="R97" s="1649"/>
      <c r="S97" s="1649"/>
      <c r="T97" s="1535" t="s">
        <v>2289</v>
      </c>
      <c r="U97" s="1535"/>
      <c r="V97" s="1535"/>
      <c r="W97" s="1535"/>
      <c r="X97" s="1535"/>
      <c r="Y97" s="1692"/>
      <c r="Z97" s="1538" t="s">
        <v>2290</v>
      </c>
      <c r="AA97" s="1541"/>
      <c r="AB97" s="1538"/>
      <c r="AC97" s="1538"/>
      <c r="AD97" s="1538"/>
    </row>
    <row customHeight="1" ht="63">
      <c r="A98" s="1537"/>
      <c r="B98" s="1591">
        <v>81</v>
      </c>
      <c r="C98" s="1535" t="s">
        <v>2291</v>
      </c>
      <c r="D98" s="1659"/>
      <c r="E98" s="1535"/>
      <c r="F98" s="1535"/>
      <c r="G98" s="1535"/>
      <c r="H98" s="1583"/>
      <c r="I98" s="1697" t="str">
        <f>INDEX(TEMPLATE_NUMBER_POINT_FHD,B98,MATCH(TEMPLATE_SPHERE,TEMPLATE_SPHERE_LIST_FOR_NOTE,0))</f>
        <v>18</v>
      </c>
      <c r="J98" s="1697"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697"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536" t="str">
        <f>IF(I98=0,"",I98)</f>
        <v>18</v>
      </c>
      <c r="M98" s="1536"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536" t="str">
        <f>IF(K98=0,"",K98)</f>
        <v>Регулируемыми организациями указывается информация с по договорам, заключенным в рамках осуществления регулируемой деятельности.</v>
      </c>
      <c r="O98" s="1649" t="s">
        <v>1568</v>
      </c>
      <c r="P98" s="1649"/>
      <c r="Q98" s="1649"/>
      <c r="R98" s="1649"/>
      <c r="S98" s="1649"/>
      <c r="T98" s="1535" t="s">
        <v>2292</v>
      </c>
      <c r="U98" s="1535"/>
      <c r="V98" s="1535"/>
      <c r="W98" s="1535"/>
      <c r="X98" s="1535"/>
      <c r="Y98" s="1692"/>
      <c r="Z98" s="1538" t="s">
        <v>2290</v>
      </c>
      <c r="AA98" s="1541"/>
      <c r="AB98" s="1538"/>
      <c r="AC98" s="1538"/>
      <c r="AD98" s="1538"/>
    </row>
    <row customHeight="1" ht="90">
      <c r="A99" s="1537"/>
      <c r="B99" s="1591">
        <v>82</v>
      </c>
      <c r="C99" s="1535" t="s">
        <v>2293</v>
      </c>
      <c r="D99" s="1659"/>
      <c r="E99" s="1535"/>
      <c r="F99" s="1535"/>
      <c r="G99" s="1535"/>
      <c r="H99" s="1583"/>
      <c r="I99" s="1697" t="str">
        <f>INDEX(TEMPLATE_NUMBER_POINT_FHD,B99,MATCH(TEMPLATE_SPHERE,TEMPLATE_SPHERE_LIST_FOR_NOTE,0))</f>
        <v>19</v>
      </c>
      <c r="J99" s="1697"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697" t="str">
        <f>INDEX(TEMPLATE_NOTE_POINT_FHD,B99,MATCH(TEMPLATE_SPHERE,TEMPLATE_SPHERE_LIST_FOR_NOTE,0))</f>
        <v>Указывается ссылка на документ, предварительно загруженный в хранилище файлов ФГИС ЕИАС.</v>
      </c>
      <c r="L99" s="1536" t="str">
        <f>IF(I99=0,"",I99)</f>
        <v>19</v>
      </c>
      <c r="M99" s="1536"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536" t="str">
        <f>IF(K99=0,"",K99)</f>
        <v>Указывается ссылка на документ, предварительно загруженный в хранилище файлов ФГИС ЕИАС.</v>
      </c>
      <c r="O99" s="1649" t="s">
        <v>1580</v>
      </c>
      <c r="P99" s="1649"/>
      <c r="Q99" s="1649"/>
      <c r="R99" s="1649"/>
      <c r="S99" s="1649"/>
      <c r="T99" s="1535" t="s">
        <v>2294</v>
      </c>
      <c r="U99" s="1535"/>
      <c r="V99" s="1535"/>
      <c r="W99" s="1535"/>
      <c r="X99" s="1535"/>
      <c r="Y99" s="1692"/>
      <c r="Z99" s="1538" t="s">
        <v>705</v>
      </c>
      <c r="AA99" s="1541"/>
      <c r="AB99" s="1538"/>
      <c r="AC99" s="1538"/>
      <c r="AD99" s="1538"/>
    </row>
    <row customHeight="1" ht="27">
      <c r="A100" s="1537"/>
      <c r="B100" s="1591">
        <v>83</v>
      </c>
      <c r="C100" s="1535"/>
      <c r="D100" s="1659"/>
      <c r="E100" s="1535"/>
      <c r="F100" s="1535"/>
      <c r="G100" s="1535"/>
      <c r="H100" s="1583"/>
      <c r="I100" s="1697" t="str">
        <f>INDEX(TEMPLATE_NUMBER_POINT_FHD,B100,MATCH(TEMPLATE_SPHERE,TEMPLATE_SPHERE_LIST_FOR_NOTE,0))</f>
        <v>19.1</v>
      </c>
      <c r="J100" s="1697" t="str">
        <f>INDEX(TEMPLATE_DATA_POINT_FHD,B100,MATCH(TEMPLATE_SPHERE,TEMPLATE_SPHERE_LIST_FOR_NOTE,0))</f>
        <v>Информация о показателях физического износа объектов теплоснабжения</v>
      </c>
      <c r="K100" s="1697" t="str">
        <f>INDEX(TEMPLATE_NOTE_POINT_FHD,B100,MATCH(TEMPLATE_SPHERE,TEMPLATE_SPHERE_LIST_FOR_NOTE,0))</f>
        <v>Указывается ссылка на документ, предварительно загруженный в хранилище файлов ФГИС ЕИАС.</v>
      </c>
      <c r="L100" s="1536" t="str">
        <f>IF(I100=0,"",I100)</f>
        <v>19.1</v>
      </c>
      <c r="M100" s="1536" t="str">
        <f>IF(J100=0,"",J100)</f>
        <v>Информация о показателях физического износа объектов теплоснабжения</v>
      </c>
      <c r="N100" s="1536" t="str">
        <f>IF(K100=0,"",K100)</f>
        <v>Указывается ссылка на документ, предварительно загруженный в хранилище файлов ФГИС ЕИАС.</v>
      </c>
      <c r="O100" s="1649" t="s">
        <v>2295</v>
      </c>
      <c r="P100" s="1649"/>
      <c r="Q100" s="1649"/>
      <c r="R100" s="1649"/>
      <c r="S100" s="1649"/>
      <c r="T100" s="1535" t="s">
        <v>2296</v>
      </c>
      <c r="U100" s="1535"/>
      <c r="V100" s="1535"/>
      <c r="W100" s="1535"/>
      <c r="X100" s="1535"/>
      <c r="Y100" s="1692"/>
      <c r="Z100" s="1538" t="s">
        <v>705</v>
      </c>
      <c r="AA100" s="1541"/>
      <c r="AB100" s="1538"/>
      <c r="AC100" s="1538"/>
      <c r="AD100" s="1538"/>
    </row>
    <row customHeight="1" ht="27">
      <c r="A101" s="1537"/>
      <c r="B101" s="1591">
        <v>84</v>
      </c>
      <c r="C101" s="1535"/>
      <c r="D101" s="1659"/>
      <c r="E101" s="1535"/>
      <c r="F101" s="1535"/>
      <c r="G101" s="1535"/>
      <c r="H101" s="1583"/>
      <c r="I101" s="1697" t="str">
        <f>INDEX(TEMPLATE_NUMBER_POINT_FHD,B101,MATCH(TEMPLATE_SPHERE,TEMPLATE_SPHERE_LIST_FOR_NOTE,0))</f>
        <v>19.2</v>
      </c>
      <c r="J101" s="1697" t="str">
        <f>INDEX(TEMPLATE_DATA_POINT_FHD,B101,MATCH(TEMPLATE_SPHERE,TEMPLATE_SPHERE_LIST_FOR_NOTE,0))</f>
        <v>Информация о показателях энергетической эффективности объектов теплоснабжения</v>
      </c>
      <c r="K101" s="1697" t="str">
        <f>INDEX(TEMPLATE_NOTE_POINT_FHD,B101,MATCH(TEMPLATE_SPHERE,TEMPLATE_SPHERE_LIST_FOR_NOTE,0))</f>
        <v>Указывается ссылка на документ, предварительно загруженный в хранилище файлов ФГИС ЕИАС.</v>
      </c>
      <c r="L101" s="1536" t="str">
        <f>IF(I101=0,"",I101)</f>
        <v>19.2</v>
      </c>
      <c r="M101" s="1536" t="str">
        <f>IF(J101=0,"",J101)</f>
        <v>Информация о показателях энергетической эффективности объектов теплоснабжения</v>
      </c>
      <c r="N101" s="1536" t="str">
        <f>IF(K101=0,"",K101)</f>
        <v>Указывается ссылка на документ, предварительно загруженный в хранилище файлов ФГИС ЕИАС.</v>
      </c>
      <c r="O101" s="1649" t="s">
        <v>2297</v>
      </c>
      <c r="P101" s="1649"/>
      <c r="Q101" s="1649"/>
      <c r="R101" s="1649"/>
      <c r="S101" s="1649"/>
      <c r="T101" s="1535" t="s">
        <v>2298</v>
      </c>
      <c r="U101" s="1535"/>
      <c r="V101" s="1535"/>
      <c r="W101" s="1535"/>
      <c r="X101" s="1535"/>
      <c r="Y101" s="1692"/>
      <c r="Z101" s="1538" t="s">
        <v>705</v>
      </c>
      <c r="AA101" s="1541"/>
      <c r="AB101" s="1538"/>
      <c r="AC101" s="1538"/>
      <c r="AD101" s="1538"/>
    </row>
    <row customHeight="1" ht="9">
      <c r="A102" s="1537"/>
      <c r="B102" s="1537"/>
      <c r="C102" s="1535"/>
      <c r="D102" s="1535"/>
      <c r="E102" s="1535"/>
      <c r="F102" s="1535"/>
      <c r="G102" s="1535"/>
      <c r="H102" s="1583"/>
      <c r="I102" s="1583"/>
      <c r="J102" s="1583"/>
      <c r="K102" s="1583"/>
      <c r="L102" s="1583"/>
      <c r="M102" s="1535"/>
      <c r="N102" s="1582"/>
      <c r="O102" s="1649"/>
      <c r="P102" s="1649"/>
      <c r="Q102" s="1649"/>
      <c r="R102" s="1649"/>
      <c r="S102" s="1535"/>
      <c r="T102" s="1535"/>
      <c r="U102" s="1535"/>
      <c r="V102" s="1535"/>
      <c r="W102" s="1535"/>
      <c r="X102" s="1535"/>
      <c r="Y102" s="1692"/>
      <c r="Z102" s="1538"/>
      <c r="AA102" s="1541"/>
      <c r="AB102" s="1538"/>
      <c r="AC102" s="1538"/>
      <c r="AD102" s="1538"/>
    </row>
    <row customHeight="1" ht="9">
      <c r="A103" s="1537"/>
      <c r="B103" s="1537"/>
      <c r="C103" s="1535"/>
      <c r="D103" s="1535"/>
      <c r="E103" s="1535"/>
      <c r="F103" s="1535"/>
      <c r="G103" s="1535"/>
      <c r="H103" s="1583"/>
      <c r="I103" s="1583"/>
      <c r="J103" s="1583"/>
      <c r="K103" s="1583"/>
      <c r="L103" s="1583"/>
      <c r="M103" s="1535"/>
      <c r="N103" s="1582"/>
      <c r="O103" s="1649"/>
      <c r="P103" s="1649"/>
      <c r="Q103" s="1649"/>
      <c r="R103" s="1649"/>
      <c r="S103" s="1535"/>
      <c r="T103" s="1535"/>
      <c r="U103" s="1535"/>
      <c r="V103" s="1535"/>
      <c r="W103" s="1535"/>
      <c r="X103" s="1535"/>
      <c r="Y103" s="1692"/>
      <c r="Z103" s="1538"/>
      <c r="AA103" s="1541"/>
      <c r="AB103" s="1538"/>
      <c r="AC103" s="1538"/>
      <c r="AD103" s="1538"/>
    </row>
    <row customHeight="1" ht="9">
      <c r="A104" s="1537"/>
      <c r="B104" s="1537"/>
      <c r="C104" s="1535"/>
      <c r="D104" s="1535"/>
      <c r="E104" s="1535"/>
      <c r="F104" s="1535"/>
      <c r="G104" s="1535"/>
      <c r="H104" s="1583"/>
      <c r="I104" s="1583"/>
      <c r="J104" s="1583"/>
      <c r="K104" s="1583"/>
      <c r="L104" s="1583"/>
      <c r="M104" s="1535"/>
      <c r="N104" s="1582"/>
      <c r="O104" s="1649"/>
      <c r="P104" s="1649"/>
      <c r="Q104" s="1649"/>
      <c r="R104" s="1649"/>
      <c r="S104" s="1535"/>
      <c r="T104" s="1535"/>
      <c r="U104" s="1535"/>
      <c r="V104" s="1535"/>
      <c r="W104" s="1535"/>
      <c r="X104" s="1535"/>
      <c r="Y104" s="1692"/>
      <c r="Z104" s="1538"/>
      <c r="AA104" s="1541"/>
      <c r="AB104" s="1538"/>
      <c r="AC104" s="1538"/>
      <c r="AD104" s="1538"/>
    </row>
    <row customHeight="1" ht="9">
      <c r="A105" s="1537"/>
      <c r="B105" s="1537"/>
      <c r="C105" s="1535"/>
      <c r="D105" s="1535"/>
      <c r="E105" s="1535"/>
      <c r="F105" s="1535"/>
      <c r="G105" s="1535"/>
      <c r="H105" s="1583"/>
      <c r="I105" s="1583"/>
      <c r="J105" s="1583"/>
      <c r="K105" s="1583"/>
      <c r="L105" s="1583"/>
      <c r="M105" s="1535"/>
      <c r="N105" s="1582"/>
      <c r="O105" s="1649"/>
      <c r="P105" s="1649"/>
      <c r="Q105" s="1649"/>
      <c r="R105" s="1649"/>
      <c r="S105" s="1535"/>
      <c r="T105" s="1535"/>
      <c r="U105" s="1535"/>
      <c r="V105" s="1535"/>
      <c r="W105" s="1535"/>
      <c r="X105" s="1535"/>
      <c r="Y105" s="1692"/>
      <c r="Z105" s="1538"/>
      <c r="AA105" s="1541"/>
      <c r="AB105" s="1538"/>
      <c r="AC105" s="1538"/>
      <c r="AD105" s="1538"/>
    </row>
    <row customHeight="1" ht="9">
      <c r="A106" s="1537"/>
      <c r="B106" s="1537"/>
      <c r="C106" s="1535"/>
      <c r="D106" s="1535"/>
      <c r="E106" s="1535"/>
      <c r="F106" s="1535"/>
      <c r="G106" s="1535"/>
      <c r="H106" s="1583"/>
      <c r="I106" s="1583"/>
      <c r="J106" s="1583"/>
      <c r="K106" s="1583"/>
      <c r="L106" s="1583"/>
      <c r="M106" s="1535"/>
      <c r="N106" s="1582"/>
      <c r="O106" s="1649"/>
      <c r="P106" s="1649"/>
      <c r="Q106" s="1649"/>
      <c r="R106" s="1649"/>
      <c r="S106" s="1535"/>
      <c r="T106" s="1535"/>
      <c r="U106" s="1535"/>
      <c r="V106" s="1535"/>
      <c r="W106" s="1535"/>
      <c r="X106" s="1535"/>
      <c r="Y106" s="1692"/>
      <c r="Z106" s="1538"/>
      <c r="AA106" s="1541"/>
      <c r="AB106" s="1538"/>
      <c r="AC106" s="1538"/>
      <c r="AD106" s="1538"/>
    </row>
    <row customHeight="1" ht="9">
      <c r="A107" s="1537"/>
      <c r="B107" s="1537"/>
      <c r="C107" s="1535"/>
      <c r="D107" s="1535"/>
      <c r="E107" s="1535"/>
      <c r="F107" s="1535"/>
      <c r="G107" s="1535"/>
      <c r="H107" s="1583"/>
      <c r="I107" s="1583"/>
      <c r="J107" s="1583"/>
      <c r="K107" s="1583"/>
      <c r="L107" s="1583"/>
      <c r="M107" s="1535"/>
      <c r="N107" s="1582"/>
      <c r="O107" s="1649"/>
      <c r="P107" s="1649"/>
      <c r="Q107" s="1649"/>
      <c r="R107" s="1649"/>
      <c r="S107" s="1535"/>
      <c r="T107" s="1535"/>
      <c r="U107" s="1535"/>
      <c r="V107" s="1535"/>
      <c r="W107" s="1535"/>
      <c r="X107" s="1535"/>
      <c r="Y107" s="1692"/>
      <c r="Z107" s="1538"/>
      <c r="AA107" s="1541"/>
      <c r="AB107" s="1538"/>
      <c r="AC107" s="1538"/>
      <c r="AD107" s="1538"/>
    </row>
    <row customHeight="1" ht="9">
      <c r="A108" s="1537"/>
      <c r="B108" s="1537"/>
      <c r="C108" s="1535"/>
      <c r="D108" s="1535"/>
      <c r="E108" s="1535"/>
      <c r="F108" s="1535"/>
      <c r="G108" s="1535"/>
      <c r="H108" s="1583"/>
      <c r="I108" s="1583"/>
      <c r="J108" s="1583"/>
      <c r="K108" s="1583"/>
      <c r="L108" s="1583"/>
      <c r="M108" s="1535"/>
      <c r="N108" s="1582"/>
      <c r="O108" s="1649"/>
      <c r="P108" s="1649"/>
      <c r="Q108" s="1649"/>
      <c r="R108" s="1649"/>
      <c r="S108" s="1535"/>
      <c r="T108" s="1535"/>
      <c r="U108" s="1535"/>
      <c r="V108" s="1535"/>
      <c r="W108" s="1535"/>
      <c r="X108" s="1535"/>
      <c r="Y108" s="1692"/>
      <c r="Z108" s="1538"/>
      <c r="AA108" s="1541"/>
      <c r="AB108" s="1538"/>
      <c r="AC108" s="1538"/>
      <c r="AD108" s="1538"/>
    </row>
    <row customHeight="1" ht="9">
      <c r="A109" s="1537"/>
      <c r="B109" s="1537"/>
      <c r="C109" s="1535"/>
      <c r="D109" s="1535"/>
      <c r="E109" s="1535"/>
      <c r="F109" s="1535"/>
      <c r="G109" s="1535"/>
      <c r="H109" s="1583"/>
      <c r="I109" s="1583"/>
      <c r="J109" s="1583"/>
      <c r="K109" s="1583"/>
      <c r="L109" s="1583"/>
      <c r="M109" s="1535"/>
      <c r="N109" s="1582"/>
      <c r="O109" s="1649"/>
      <c r="P109" s="1649"/>
      <c r="Q109" s="1649"/>
      <c r="R109" s="1649"/>
      <c r="S109" s="1535"/>
      <c r="T109" s="1535"/>
      <c r="U109" s="1535"/>
      <c r="V109" s="1535"/>
      <c r="W109" s="1535"/>
      <c r="X109" s="1535"/>
      <c r="Y109" s="1692"/>
      <c r="Z109" s="1538"/>
      <c r="AA109" s="1541"/>
      <c r="AB109" s="1538"/>
      <c r="AC109" s="1538"/>
      <c r="AD109" s="1538"/>
    </row>
    <row customHeight="1" ht="9">
      <c r="A110" s="1537"/>
      <c r="B110" s="1537"/>
      <c r="C110" s="1535"/>
      <c r="D110" s="1535"/>
      <c r="E110" s="1535"/>
      <c r="F110" s="1535"/>
      <c r="G110" s="1535"/>
      <c r="H110" s="1583"/>
      <c r="I110" s="1583"/>
      <c r="J110" s="1583"/>
      <c r="K110" s="1583"/>
      <c r="L110" s="1583"/>
      <c r="M110" s="1535"/>
      <c r="N110" s="1582"/>
      <c r="O110" s="1649"/>
      <c r="P110" s="1649"/>
      <c r="Q110" s="1649"/>
      <c r="R110" s="1649"/>
      <c r="S110" s="1535"/>
      <c r="T110" s="1535"/>
      <c r="U110" s="1535"/>
      <c r="V110" s="1535"/>
      <c r="W110" s="1535"/>
      <c r="X110" s="1535"/>
      <c r="Y110" s="1692"/>
      <c r="Z110" s="1538"/>
      <c r="AA110" s="1541"/>
      <c r="AB110" s="1538"/>
      <c r="AC110" s="1538"/>
      <c r="AD110" s="1538"/>
    </row>
    <row customHeight="1" ht="9">
      <c r="A111" s="1537"/>
      <c r="B111" s="1537"/>
      <c r="C111" s="1535"/>
      <c r="D111" s="1535"/>
      <c r="E111" s="1535"/>
      <c r="F111" s="1535"/>
      <c r="G111" s="1535"/>
      <c r="H111" s="1583"/>
      <c r="I111" s="1583"/>
      <c r="J111" s="1583"/>
      <c r="K111" s="1583"/>
      <c r="L111" s="1583"/>
      <c r="M111" s="1535"/>
      <c r="N111" s="1582"/>
      <c r="O111" s="1649"/>
      <c r="P111" s="1649"/>
      <c r="Q111" s="1649"/>
      <c r="R111" s="1649"/>
      <c r="S111" s="1535"/>
      <c r="T111" s="1535"/>
      <c r="U111" s="1535"/>
      <c r="V111" s="1535"/>
      <c r="W111" s="1535"/>
      <c r="X111" s="1535"/>
      <c r="Y111" s="1692"/>
      <c r="Z111" s="1538"/>
      <c r="AA111" s="1541"/>
      <c r="AB111" s="1538"/>
      <c r="AC111" s="1538"/>
      <c r="AD111" s="1538"/>
    </row>
    <row customHeight="1" ht="9">
      <c r="A112" s="1537"/>
      <c r="B112" s="1537"/>
      <c r="C112" s="1535"/>
      <c r="D112" s="1535"/>
      <c r="E112" s="1535"/>
      <c r="F112" s="1535"/>
      <c r="G112" s="1535"/>
      <c r="H112" s="1583"/>
      <c r="I112" s="1583"/>
      <c r="J112" s="1583"/>
      <c r="K112" s="1583"/>
      <c r="L112" s="1583"/>
      <c r="M112" s="1535"/>
      <c r="N112" s="1582"/>
      <c r="O112" s="1649"/>
      <c r="P112" s="1649"/>
      <c r="Q112" s="1649"/>
      <c r="R112" s="1649"/>
      <c r="S112" s="1535"/>
      <c r="T112" s="1535"/>
      <c r="U112" s="1535"/>
      <c r="V112" s="1535"/>
      <c r="W112" s="1535"/>
      <c r="X112" s="1535"/>
      <c r="Y112" s="1692"/>
      <c r="Z112" s="1538"/>
      <c r="AA112" s="1541"/>
      <c r="AB112" s="1538"/>
      <c r="AC112" s="1538"/>
      <c r="AD112" s="1538"/>
    </row>
    <row customHeight="1" ht="9">
      <c r="A113" s="1537"/>
      <c r="B113" s="1537"/>
      <c r="C113" s="1535"/>
      <c r="D113" s="1535"/>
      <c r="E113" s="1535"/>
      <c r="F113" s="1535"/>
      <c r="G113" s="1535"/>
      <c r="H113" s="1583"/>
      <c r="I113" s="1583"/>
      <c r="J113" s="1583"/>
      <c r="K113" s="1583"/>
      <c r="L113" s="1583"/>
      <c r="M113" s="1535"/>
      <c r="N113" s="1582"/>
      <c r="O113" s="1649"/>
      <c r="P113" s="1649"/>
      <c r="Q113" s="1649"/>
      <c r="R113" s="1649"/>
      <c r="S113" s="1535"/>
      <c r="T113" s="1535"/>
      <c r="U113" s="1535"/>
      <c r="V113" s="1535"/>
      <c r="W113" s="1535"/>
      <c r="X113" s="1535"/>
      <c r="Y113" s="1692"/>
      <c r="Z113" s="1538"/>
      <c r="AA113" s="1541"/>
      <c r="AB113" s="1538"/>
      <c r="AC113" s="1538"/>
      <c r="AD113" s="1538"/>
    </row>
    <row customHeight="1" ht="9">
      <c r="A114" s="1537"/>
      <c r="B114" s="1537"/>
      <c r="C114" s="1535"/>
      <c r="D114" s="1535"/>
      <c r="E114" s="1535"/>
      <c r="F114" s="1535"/>
      <c r="G114" s="1535"/>
      <c r="H114" s="1583"/>
      <c r="I114" s="1583"/>
      <c r="J114" s="1583"/>
      <c r="K114" s="1583"/>
      <c r="L114" s="1583"/>
      <c r="M114" s="1535"/>
      <c r="N114" s="1582"/>
      <c r="O114" s="1649"/>
      <c r="P114" s="1649"/>
      <c r="Q114" s="1649"/>
      <c r="R114" s="1649"/>
      <c r="S114" s="1535"/>
      <c r="T114" s="1535"/>
      <c r="U114" s="1535"/>
      <c r="V114" s="1535"/>
      <c r="W114" s="1535"/>
      <c r="X114" s="1535"/>
      <c r="Y114" s="1692"/>
      <c r="Z114" s="1538"/>
      <c r="AA114" s="1541"/>
      <c r="AB114" s="1538"/>
      <c r="AC114" s="1538"/>
      <c r="AD114" s="1538"/>
    </row>
    <row customHeight="1" ht="9">
      <c r="A115" s="1537"/>
      <c r="B115" s="1537"/>
      <c r="C115" s="1535"/>
      <c r="D115" s="1535"/>
      <c r="E115" s="1535"/>
      <c r="F115" s="1535"/>
      <c r="G115" s="1535"/>
      <c r="H115" s="1583"/>
      <c r="I115" s="1583"/>
      <c r="J115" s="1583"/>
      <c r="K115" s="1583"/>
      <c r="L115" s="1583"/>
      <c r="M115" s="1535"/>
      <c r="N115" s="1582"/>
      <c r="O115" s="1649"/>
      <c r="P115" s="1649"/>
      <c r="Q115" s="1649"/>
      <c r="R115" s="1649"/>
      <c r="S115" s="1535"/>
      <c r="T115" s="1535"/>
      <c r="U115" s="1535"/>
      <c r="V115" s="1535"/>
      <c r="W115" s="1535"/>
      <c r="X115" s="1535"/>
      <c r="Y115" s="1692"/>
      <c r="Z115" s="1538"/>
      <c r="AA115" s="1541"/>
      <c r="AB115" s="1538"/>
      <c r="AC115" s="1538"/>
      <c r="AD115" s="1538"/>
    </row>
    <row customHeight="1" ht="9">
      <c r="A116" s="1537"/>
      <c r="B116" s="1537"/>
      <c r="C116" s="1535"/>
      <c r="D116" s="1535"/>
      <c r="E116" s="1535"/>
      <c r="F116" s="1535"/>
      <c r="G116" s="1535"/>
      <c r="H116" s="1583"/>
      <c r="I116" s="1583"/>
      <c r="J116" s="1583"/>
      <c r="K116" s="1583"/>
      <c r="L116" s="1583"/>
      <c r="M116" s="1535"/>
      <c r="N116" s="1582"/>
      <c r="O116" s="1649"/>
      <c r="P116" s="1649"/>
      <c r="Q116" s="1649"/>
      <c r="R116" s="1649"/>
      <c r="S116" s="1535"/>
      <c r="T116" s="1535"/>
      <c r="U116" s="1535"/>
      <c r="V116" s="1535"/>
      <c r="W116" s="1535"/>
      <c r="X116" s="1535"/>
      <c r="Y116" s="1692"/>
      <c r="Z116" s="1538"/>
      <c r="AA116" s="1541"/>
      <c r="AB116" s="1538"/>
      <c r="AC116" s="1538"/>
      <c r="AD116" s="1538"/>
    </row>
    <row customHeight="1" ht="9">
      <c r="A117" s="1537"/>
      <c r="B117" s="1537"/>
      <c r="C117" s="1535"/>
      <c r="D117" s="1535"/>
      <c r="E117" s="1535"/>
      <c r="F117" s="1535"/>
      <c r="G117" s="1535"/>
      <c r="H117" s="1583"/>
      <c r="I117" s="1583"/>
      <c r="J117" s="1583"/>
      <c r="K117" s="1583"/>
      <c r="L117" s="1583"/>
      <c r="M117" s="1535"/>
      <c r="N117" s="1582"/>
      <c r="O117" s="1649"/>
      <c r="P117" s="1649"/>
      <c r="Q117" s="1649"/>
      <c r="R117" s="1649"/>
      <c r="S117" s="1535"/>
      <c r="T117" s="1535"/>
      <c r="U117" s="1535"/>
      <c r="V117" s="1535"/>
      <c r="W117" s="1535"/>
      <c r="X117" s="1535"/>
      <c r="Y117" s="1692"/>
      <c r="Z117" s="1538"/>
      <c r="AA117" s="1541"/>
      <c r="AB117" s="1538"/>
      <c r="AC117" s="1538"/>
      <c r="AD117" s="1538"/>
    </row>
    <row customHeight="1" ht="9">
      <c r="A118" s="1537"/>
      <c r="B118" s="1537"/>
      <c r="C118" s="1535"/>
      <c r="D118" s="1535"/>
      <c r="E118" s="1535"/>
      <c r="F118" s="1535"/>
      <c r="G118" s="1535"/>
      <c r="H118" s="1583"/>
      <c r="I118" s="1583"/>
      <c r="J118" s="1583"/>
      <c r="K118" s="1583"/>
      <c r="L118" s="1583"/>
      <c r="M118" s="1535"/>
      <c r="N118" s="1582"/>
      <c r="O118" s="1649"/>
      <c r="P118" s="1649"/>
      <c r="Q118" s="1649"/>
      <c r="R118" s="1649"/>
      <c r="S118" s="1535"/>
      <c r="T118" s="1535"/>
      <c r="U118" s="1535"/>
      <c r="V118" s="1535"/>
      <c r="W118" s="1535"/>
      <c r="X118" s="1535"/>
      <c r="Y118" s="1692"/>
      <c r="Z118" s="1538"/>
      <c r="AA118" s="1541"/>
      <c r="AB118" s="1538"/>
      <c r="AC118" s="1538"/>
      <c r="AD118" s="1538"/>
    </row>
    <row customHeight="1" ht="9">
      <c r="A119" s="1537"/>
      <c r="B119" s="1537"/>
      <c r="C119" s="1535"/>
      <c r="D119" s="1535"/>
      <c r="E119" s="1535"/>
      <c r="F119" s="1535"/>
      <c r="G119" s="1535"/>
      <c r="H119" s="1583"/>
      <c r="I119" s="1583"/>
      <c r="J119" s="1583"/>
      <c r="K119" s="1583"/>
      <c r="L119" s="1583"/>
      <c r="M119" s="1535"/>
      <c r="N119" s="1582"/>
      <c r="O119" s="1649"/>
      <c r="P119" s="1649"/>
      <c r="Q119" s="1649"/>
      <c r="R119" s="1649"/>
      <c r="S119" s="1535"/>
      <c r="T119" s="1535"/>
      <c r="U119" s="1535"/>
      <c r="V119" s="1535"/>
      <c r="W119" s="1535"/>
      <c r="X119" s="1535"/>
      <c r="Y119" s="1692"/>
      <c r="Z119" s="1538"/>
      <c r="AA119" s="1541"/>
      <c r="AB119" s="1538"/>
      <c r="AC119" s="1538"/>
      <c r="AD119" s="1538"/>
    </row>
    <row customHeight="1" ht="9">
      <c r="A120" s="1537"/>
      <c r="B120" s="1537"/>
      <c r="C120" s="1535"/>
      <c r="D120" s="1535"/>
      <c r="E120" s="1535"/>
      <c r="F120" s="1535"/>
      <c r="G120" s="1535"/>
      <c r="H120" s="1583"/>
      <c r="I120" s="1583"/>
      <c r="J120" s="1583"/>
      <c r="K120" s="1583"/>
      <c r="L120" s="1583"/>
      <c r="M120" s="1535"/>
      <c r="N120" s="1582"/>
      <c r="O120" s="1649"/>
      <c r="P120" s="1649"/>
      <c r="Q120" s="1649"/>
      <c r="R120" s="1649"/>
      <c r="S120" s="1535"/>
      <c r="T120" s="1535"/>
      <c r="U120" s="1535"/>
      <c r="V120" s="1535"/>
      <c r="W120" s="1535"/>
      <c r="X120" s="1535"/>
      <c r="Y120" s="1692"/>
      <c r="Z120" s="1538"/>
      <c r="AA120" s="1541"/>
      <c r="AB120" s="1538"/>
      <c r="AC120" s="1538"/>
      <c r="AD120" s="1538"/>
    </row>
    <row customHeight="1" ht="9">
      <c r="A121" s="1537"/>
      <c r="B121" s="1537"/>
      <c r="C121" s="1535"/>
      <c r="D121" s="1535"/>
      <c r="E121" s="1535"/>
      <c r="F121" s="1535"/>
      <c r="G121" s="1535"/>
      <c r="H121" s="1583"/>
      <c r="I121" s="1583"/>
      <c r="J121" s="1583"/>
      <c r="K121" s="1583"/>
      <c r="L121" s="1583"/>
      <c r="M121" s="1535"/>
      <c r="N121" s="1582"/>
      <c r="O121" s="1649"/>
      <c r="P121" s="1649"/>
      <c r="Q121" s="1649"/>
      <c r="R121" s="1649"/>
      <c r="S121" s="1535"/>
      <c r="T121" s="1535"/>
      <c r="U121" s="1535"/>
      <c r="V121" s="1535"/>
      <c r="W121" s="1535"/>
      <c r="X121" s="1535"/>
      <c r="Y121" s="1692"/>
      <c r="Z121" s="1538"/>
      <c r="AA121" s="1541"/>
      <c r="AB121" s="1538"/>
      <c r="AC121" s="1538"/>
      <c r="AD121" s="1538"/>
    </row>
    <row customHeight="1" ht="9">
      <c r="A122" s="1537"/>
      <c r="B122" s="1537"/>
      <c r="C122" s="1535"/>
      <c r="D122" s="1535"/>
      <c r="E122" s="1535"/>
      <c r="F122" s="1535"/>
      <c r="G122" s="1535"/>
      <c r="H122" s="1583"/>
      <c r="I122" s="1583"/>
      <c r="J122" s="1583"/>
      <c r="K122" s="1583"/>
      <c r="L122" s="1583"/>
      <c r="M122" s="1535"/>
      <c r="N122" s="1582"/>
      <c r="O122" s="1649"/>
      <c r="P122" s="1649"/>
      <c r="Q122" s="1649"/>
      <c r="R122" s="1649"/>
      <c r="S122" s="1535"/>
      <c r="T122" s="1535"/>
      <c r="U122" s="1535"/>
      <c r="V122" s="1535"/>
      <c r="W122" s="1535"/>
      <c r="X122" s="1535"/>
      <c r="Y122" s="1692"/>
      <c r="Z122" s="1538"/>
      <c r="AA122" s="1541"/>
      <c r="AB122" s="1538"/>
      <c r="AC122" s="1538"/>
      <c r="AD122" s="1538"/>
    </row>
    <row customHeight="1" ht="9">
      <c r="A123" s="1537"/>
      <c r="B123" s="1537"/>
      <c r="C123" s="1535"/>
      <c r="D123" s="1535"/>
      <c r="E123" s="1535"/>
      <c r="F123" s="1535"/>
      <c r="G123" s="1535"/>
      <c r="H123" s="1583"/>
      <c r="I123" s="1583"/>
      <c r="J123" s="1583"/>
      <c r="K123" s="1583"/>
      <c r="L123" s="1583"/>
      <c r="M123" s="1535"/>
      <c r="N123" s="1582"/>
      <c r="O123" s="1649"/>
      <c r="P123" s="1649"/>
      <c r="Q123" s="1649"/>
      <c r="R123" s="1649"/>
      <c r="S123" s="1535"/>
      <c r="T123" s="1535"/>
      <c r="U123" s="1535"/>
      <c r="V123" s="1535"/>
      <c r="W123" s="1535"/>
      <c r="X123" s="1535"/>
      <c r="Y123" s="1692"/>
      <c r="Z123" s="1538"/>
      <c r="AA123" s="1541"/>
      <c r="AB123" s="1538"/>
      <c r="AC123" s="1538"/>
      <c r="AD123" s="1538"/>
    </row>
    <row customHeight="1" ht="9">
      <c r="A124" s="1537"/>
      <c r="B124" s="1537"/>
      <c r="C124" s="1535"/>
      <c r="D124" s="1535"/>
      <c r="E124" s="1535"/>
      <c r="F124" s="1535"/>
      <c r="G124" s="1535"/>
      <c r="H124" s="1583"/>
      <c r="I124" s="1583"/>
      <c r="J124" s="1583"/>
      <c r="K124" s="1583"/>
      <c r="L124" s="1583"/>
      <c r="M124" s="1535"/>
      <c r="N124" s="1582"/>
      <c r="O124" s="1649"/>
      <c r="P124" s="1649"/>
      <c r="Q124" s="1649"/>
      <c r="R124" s="1649"/>
      <c r="S124" s="1535"/>
      <c r="T124" s="1535"/>
      <c r="U124" s="1535"/>
      <c r="V124" s="1535"/>
      <c r="W124" s="1535"/>
      <c r="X124" s="1535"/>
      <c r="Y124" s="1692"/>
      <c r="Z124" s="1538"/>
      <c r="AA124" s="1541"/>
      <c r="AB124" s="1538"/>
      <c r="AC124" s="1538"/>
      <c r="AD124" s="1538"/>
    </row>
    <row customHeight="1" ht="9">
      <c r="A125" s="1537"/>
      <c r="B125" s="1537"/>
      <c r="C125" s="1535"/>
      <c r="D125" s="1535"/>
      <c r="E125" s="1535"/>
      <c r="F125" s="1535"/>
      <c r="G125" s="1535"/>
      <c r="H125" s="1583"/>
      <c r="I125" s="1583"/>
      <c r="J125" s="1583"/>
      <c r="K125" s="1583"/>
      <c r="L125" s="1583"/>
      <c r="M125" s="1535"/>
      <c r="N125" s="1582"/>
      <c r="O125" s="1649"/>
      <c r="P125" s="1649"/>
      <c r="Q125" s="1649"/>
      <c r="R125" s="1649"/>
      <c r="S125" s="1535"/>
      <c r="T125" s="1535"/>
      <c r="U125" s="1535"/>
      <c r="V125" s="1535"/>
      <c r="W125" s="1535"/>
      <c r="X125" s="1535"/>
      <c r="Y125" s="1692"/>
      <c r="Z125" s="1538"/>
      <c r="AA125" s="1541"/>
      <c r="AB125" s="1538"/>
      <c r="AC125" s="1538"/>
      <c r="AD125" s="1538"/>
    </row>
    <row customHeight="1" ht="9">
      <c r="A126" s="1537"/>
      <c r="B126" s="1537"/>
      <c r="C126" s="1535"/>
      <c r="D126" s="1535"/>
      <c r="E126" s="1535"/>
      <c r="F126" s="1535"/>
      <c r="G126" s="1535"/>
      <c r="H126" s="1583"/>
      <c r="I126" s="1583"/>
      <c r="J126" s="1583"/>
      <c r="K126" s="1583"/>
      <c r="L126" s="1583"/>
      <c r="M126" s="1535"/>
      <c r="N126" s="1582"/>
      <c r="O126" s="1649"/>
      <c r="P126" s="1649"/>
      <c r="Q126" s="1649"/>
      <c r="R126" s="1649"/>
      <c r="S126" s="1535"/>
      <c r="T126" s="1535"/>
      <c r="U126" s="1535"/>
      <c r="V126" s="1535"/>
      <c r="W126" s="1535"/>
      <c r="X126" s="1535"/>
      <c r="Y126" s="1692"/>
      <c r="Z126" s="1538"/>
      <c r="AA126" s="1541"/>
      <c r="AB126" s="1538"/>
      <c r="AC126" s="1538"/>
      <c r="AD126" s="1538"/>
    </row>
    <row customHeight="1" ht="9">
      <c r="A127" s="1537"/>
      <c r="B127" s="1537"/>
      <c r="C127" s="1535"/>
      <c r="D127" s="1535"/>
      <c r="E127" s="1535"/>
      <c r="F127" s="1535"/>
      <c r="G127" s="1535"/>
      <c r="H127" s="1583"/>
      <c r="I127" s="1583"/>
      <c r="J127" s="1583"/>
      <c r="K127" s="1583"/>
      <c r="L127" s="1583"/>
      <c r="M127" s="1535"/>
      <c r="N127" s="1582"/>
      <c r="O127" s="1649"/>
      <c r="P127" s="1649"/>
      <c r="Q127" s="1649"/>
      <c r="R127" s="1649"/>
      <c r="S127" s="1535"/>
      <c r="T127" s="1535"/>
      <c r="U127" s="1535"/>
      <c r="V127" s="1535"/>
      <c r="W127" s="1535"/>
      <c r="X127" s="1535"/>
      <c r="Y127" s="1692"/>
      <c r="Z127" s="1538"/>
      <c r="AA127" s="1541"/>
      <c r="AB127" s="1538"/>
      <c r="AC127" s="1538"/>
      <c r="AD127" s="1538"/>
    </row>
    <row customHeight="1" ht="9">
      <c r="A128" s="1537"/>
      <c r="B128" s="1537"/>
      <c r="C128" s="1535"/>
      <c r="D128" s="1535"/>
      <c r="E128" s="1535"/>
      <c r="F128" s="1535"/>
      <c r="G128" s="1535"/>
      <c r="H128" s="1583"/>
      <c r="I128" s="1583"/>
      <c r="J128" s="1583"/>
      <c r="K128" s="1583"/>
      <c r="L128" s="1583"/>
      <c r="M128" s="1535"/>
      <c r="N128" s="1582"/>
      <c r="O128" s="1649"/>
      <c r="P128" s="1649"/>
      <c r="Q128" s="1649"/>
      <c r="R128" s="1649"/>
      <c r="S128" s="1535"/>
      <c r="T128" s="1535"/>
      <c r="U128" s="1535"/>
      <c r="V128" s="1535"/>
      <c r="W128" s="1535"/>
      <c r="X128" s="1535"/>
      <c r="Y128" s="1692"/>
      <c r="Z128" s="1538"/>
      <c r="AA128" s="1541"/>
      <c r="AB128" s="1538"/>
      <c r="AC128" s="1538"/>
      <c r="AD128" s="1538"/>
    </row>
    <row customHeight="1" ht="9">
      <c r="A129" s="1537"/>
      <c r="B129" s="1537"/>
      <c r="C129" s="1535"/>
      <c r="D129" s="1535"/>
      <c r="E129" s="1535"/>
      <c r="F129" s="1535"/>
      <c r="G129" s="1535"/>
      <c r="H129" s="1583"/>
      <c r="I129" s="1583"/>
      <c r="J129" s="1583"/>
      <c r="K129" s="1583"/>
      <c r="L129" s="1583"/>
      <c r="M129" s="1535"/>
      <c r="N129" s="1582"/>
      <c r="O129" s="1649"/>
      <c r="P129" s="1649"/>
      <c r="Q129" s="1649"/>
      <c r="R129" s="1649"/>
      <c r="S129" s="1535"/>
      <c r="T129" s="1535"/>
      <c r="U129" s="1535"/>
      <c r="V129" s="1535"/>
      <c r="W129" s="1535"/>
      <c r="X129" s="1535"/>
      <c r="Y129" s="1692"/>
      <c r="Z129" s="1538"/>
      <c r="AA129" s="1541"/>
      <c r="AB129" s="1538"/>
      <c r="AC129" s="1538"/>
      <c r="AD129" s="1538"/>
    </row>
    <row customHeight="1" ht="9">
      <c r="A130" s="1537"/>
      <c r="B130" s="1537"/>
      <c r="C130" s="1535"/>
      <c r="D130" s="1535"/>
      <c r="E130" s="1535"/>
      <c r="F130" s="1535"/>
      <c r="G130" s="1535"/>
      <c r="H130" s="1583"/>
      <c r="I130" s="1583"/>
      <c r="J130" s="1583"/>
      <c r="K130" s="1583"/>
      <c r="L130" s="1583"/>
      <c r="M130" s="1535"/>
      <c r="N130" s="1582"/>
      <c r="O130" s="1651"/>
      <c r="P130" s="1651"/>
      <c r="Q130" s="1651"/>
      <c r="R130" s="1651"/>
      <c r="S130" s="1535"/>
      <c r="T130" s="1535"/>
      <c r="U130" s="1535"/>
      <c r="V130" s="1535"/>
      <c r="W130" s="1535"/>
      <c r="X130" s="1535"/>
      <c r="Y130" s="1692"/>
      <c r="Z130" s="1538"/>
      <c r="AA130" s="1541"/>
      <c r="AB130" s="1538"/>
      <c r="AC130" s="1538"/>
      <c r="AD130" s="1538"/>
    </row>
    <row customHeight="1" ht="9">
      <c r="A131" s="1537"/>
      <c r="B131" s="1537"/>
      <c r="C131" s="1535"/>
      <c r="D131" s="1535"/>
      <c r="E131" s="1535"/>
      <c r="F131" s="1535"/>
      <c r="G131" s="1535"/>
      <c r="H131" s="1583"/>
      <c r="I131" s="1583"/>
      <c r="J131" s="1583"/>
      <c r="K131" s="1583"/>
      <c r="L131" s="1583"/>
      <c r="M131" s="1535"/>
      <c r="N131" s="1582"/>
      <c r="O131" s="1652"/>
      <c r="P131" s="1652"/>
      <c r="Q131" s="1652"/>
      <c r="R131" s="1652"/>
      <c r="S131" s="1535"/>
      <c r="T131" s="1535"/>
      <c r="U131" s="1535"/>
      <c r="V131" s="1535"/>
      <c r="W131" s="1535"/>
      <c r="X131" s="1535"/>
      <c r="Y131" s="1692"/>
      <c r="Z131" s="1538"/>
      <c r="AA131" s="1541"/>
      <c r="AB131" s="1538"/>
      <c r="AC131" s="1538"/>
      <c r="AD131" s="1538"/>
    </row>
    <row customHeight="1" ht="9">
      <c r="A132" s="1537"/>
      <c r="B132" s="1537"/>
      <c r="C132" s="1535"/>
      <c r="D132" s="1535"/>
      <c r="E132" s="1535"/>
      <c r="F132" s="1535"/>
      <c r="G132" s="1535"/>
      <c r="H132" s="1583"/>
      <c r="I132" s="1583"/>
      <c r="J132" s="1583"/>
      <c r="K132" s="1583"/>
      <c r="L132" s="1583"/>
      <c r="M132" s="1535"/>
      <c r="N132" s="1582"/>
      <c r="O132" s="1651"/>
      <c r="P132" s="1651"/>
      <c r="Q132" s="1651"/>
      <c r="R132" s="1651"/>
      <c r="S132" s="1535"/>
      <c r="T132" s="1535"/>
      <c r="U132" s="1535"/>
      <c r="V132" s="1535"/>
      <c r="W132" s="1535"/>
      <c r="X132" s="1535"/>
      <c r="Y132" s="1692"/>
      <c r="Z132" s="1538"/>
      <c r="AA132" s="1541"/>
      <c r="AB132" s="1538"/>
      <c r="AC132" s="1538"/>
      <c r="AD132" s="1538"/>
    </row>
    <row customHeight="1" ht="9">
      <c r="A133" s="1537"/>
      <c r="B133" s="1537"/>
      <c r="C133" s="1535"/>
      <c r="D133" s="1535"/>
      <c r="E133" s="1535"/>
      <c r="F133" s="1535"/>
      <c r="G133" s="1535"/>
      <c r="H133" s="1583"/>
      <c r="I133" s="1583"/>
      <c r="J133" s="1583"/>
      <c r="K133" s="1583"/>
      <c r="L133" s="1583"/>
      <c r="M133" s="1535"/>
      <c r="N133" s="1582"/>
      <c r="O133" s="1652"/>
      <c r="P133" s="1652"/>
      <c r="Q133" s="1652"/>
      <c r="R133" s="1652"/>
      <c r="S133" s="1535"/>
      <c r="T133" s="1535"/>
      <c r="U133" s="1535"/>
      <c r="V133" s="1535"/>
      <c r="W133" s="1535"/>
      <c r="X133" s="1535"/>
      <c r="Y133" s="1692"/>
      <c r="Z133" s="1538"/>
      <c r="AA133" s="1541"/>
      <c r="AB133" s="1538"/>
      <c r="AC133" s="1538"/>
      <c r="AD133" s="1538"/>
    </row>
    <row customHeight="1" ht="9">
      <c r="A134" s="1537"/>
      <c r="B134" s="1537"/>
      <c r="C134" s="1535"/>
      <c r="D134" s="1535"/>
      <c r="E134" s="1535"/>
      <c r="F134" s="1535"/>
      <c r="G134" s="1535"/>
      <c r="H134" s="1583"/>
      <c r="I134" s="1583"/>
      <c r="J134" s="1583"/>
      <c r="K134" s="1583"/>
      <c r="L134" s="1583"/>
      <c r="M134" s="1535"/>
      <c r="N134" s="1582"/>
      <c r="O134" s="1649"/>
      <c r="P134" s="1649"/>
      <c r="Q134" s="1649"/>
      <c r="R134" s="1649"/>
      <c r="S134" s="1535"/>
      <c r="T134" s="1535"/>
      <c r="U134" s="1535"/>
      <c r="V134" s="1535"/>
      <c r="W134" s="1535"/>
      <c r="X134" s="1535"/>
      <c r="Y134" s="1692"/>
      <c r="Z134" s="1538"/>
      <c r="AA134" s="1541"/>
      <c r="AB134" s="1538"/>
      <c r="AC134" s="1538"/>
      <c r="AD134" s="1538"/>
    </row>
    <row customHeight="1" ht="9">
      <c r="A135" s="1537"/>
      <c r="B135" s="1537"/>
      <c r="C135" s="1535"/>
      <c r="D135" s="1535"/>
      <c r="E135" s="1535"/>
      <c r="F135" s="1535"/>
      <c r="G135" s="1535"/>
      <c r="H135" s="1583"/>
      <c r="I135" s="1583"/>
      <c r="J135" s="1583"/>
      <c r="K135" s="1583"/>
      <c r="L135" s="1583"/>
      <c r="M135" s="1535"/>
      <c r="N135" s="1582"/>
      <c r="O135" s="1649"/>
      <c r="P135" s="1649"/>
      <c r="Q135" s="1649"/>
      <c r="R135" s="1649"/>
      <c r="S135" s="1535"/>
      <c r="T135" s="1535"/>
      <c r="U135" s="1535"/>
      <c r="V135" s="1535"/>
      <c r="W135" s="1535"/>
      <c r="X135" s="1535"/>
      <c r="Y135" s="1692"/>
      <c r="Z135" s="1538"/>
      <c r="AA135" s="1541"/>
      <c r="AB135" s="1538"/>
      <c r="AC135" s="1538"/>
      <c r="AD135" s="1538"/>
    </row>
    <row customHeight="1" ht="9">
      <c r="A136" s="1537"/>
      <c r="B136" s="1537"/>
      <c r="C136" s="1535"/>
      <c r="D136" s="1535"/>
      <c r="E136" s="1535"/>
      <c r="F136" s="1535"/>
      <c r="G136" s="1535"/>
      <c r="H136" s="1583"/>
      <c r="I136" s="1583"/>
      <c r="J136" s="1583"/>
      <c r="K136" s="1583"/>
      <c r="L136" s="1583"/>
      <c r="M136" s="1535"/>
      <c r="N136" s="1582"/>
      <c r="O136" s="1649"/>
      <c r="P136" s="1649"/>
      <c r="Q136" s="1649"/>
      <c r="R136" s="1649"/>
      <c r="S136" s="1535"/>
      <c r="T136" s="1535"/>
      <c r="U136" s="1535"/>
      <c r="V136" s="1535"/>
      <c r="W136" s="1535"/>
      <c r="X136" s="1535"/>
      <c r="Y136" s="1692"/>
      <c r="Z136" s="1538"/>
      <c r="AA136" s="1541"/>
      <c r="AB136" s="1538"/>
      <c r="AC136" s="1538"/>
      <c r="AD136" s="1538"/>
    </row>
    <row customHeight="1" ht="9">
      <c r="A137" s="1537"/>
      <c r="B137" s="1537"/>
      <c r="C137" s="1535"/>
      <c r="D137" s="1535"/>
      <c r="E137" s="1535"/>
      <c r="F137" s="1535"/>
      <c r="G137" s="1535"/>
      <c r="H137" s="1583"/>
      <c r="I137" s="1583"/>
      <c r="J137" s="1583"/>
      <c r="K137" s="1583"/>
      <c r="L137" s="1583"/>
      <c r="M137" s="1535"/>
      <c r="N137" s="1582"/>
      <c r="O137" s="1653"/>
      <c r="P137" s="1653"/>
      <c r="Q137" s="1653"/>
      <c r="R137" s="1653"/>
      <c r="S137" s="1535"/>
      <c r="T137" s="1535"/>
      <c r="U137" s="1535"/>
      <c r="V137" s="1535"/>
      <c r="W137" s="1535"/>
      <c r="X137" s="1535"/>
      <c r="Y137" s="1692"/>
      <c r="Z137" s="1538"/>
      <c r="AA137" s="1541"/>
      <c r="AB137" s="1538"/>
      <c r="AC137" s="1538"/>
      <c r="AD137" s="1538"/>
    </row>
    <row customHeight="1" ht="9">
      <c r="A138" s="1537"/>
      <c r="B138" s="1537"/>
      <c r="C138" s="1535"/>
      <c r="D138" s="1535"/>
      <c r="E138" s="1535"/>
      <c r="F138" s="1535"/>
      <c r="G138" s="1535"/>
      <c r="H138" s="1583"/>
      <c r="I138" s="1583"/>
      <c r="J138" s="1583"/>
      <c r="K138" s="1583"/>
      <c r="L138" s="1583"/>
      <c r="M138" s="1535"/>
      <c r="N138" s="1582"/>
      <c r="O138" s="1650"/>
      <c r="P138" s="1650"/>
      <c r="Q138" s="1650"/>
      <c r="R138" s="1650"/>
      <c r="S138" s="1535"/>
      <c r="T138" s="1535"/>
      <c r="U138" s="1535"/>
      <c r="V138" s="1535"/>
      <c r="W138" s="1535"/>
      <c r="X138" s="1535"/>
      <c r="Y138" s="1692"/>
      <c r="Z138" s="1538"/>
      <c r="AA138" s="1541"/>
      <c r="AB138" s="1538"/>
      <c r="AC138" s="1538"/>
      <c r="AD138" s="1538"/>
    </row>
    <row customHeight="1" ht="9">
      <c r="A139" s="1537"/>
      <c r="B139" s="1537"/>
      <c r="C139" s="1535"/>
      <c r="D139" s="1535"/>
      <c r="E139" s="1535"/>
      <c r="F139" s="1535"/>
      <c r="G139" s="1535"/>
      <c r="H139" s="1583"/>
      <c r="I139" s="1583"/>
      <c r="J139" s="1583"/>
      <c r="K139" s="1583"/>
      <c r="L139" s="1583"/>
      <c r="M139" s="1535"/>
      <c r="N139" s="1582"/>
      <c r="O139" s="1535"/>
      <c r="P139" s="1535"/>
      <c r="Q139" s="1535"/>
      <c r="R139" s="1535"/>
      <c r="S139" s="1535"/>
      <c r="T139" s="1535"/>
      <c r="U139" s="1535"/>
      <c r="V139" s="1535"/>
      <c r="W139" s="1535"/>
      <c r="X139" s="1535"/>
      <c r="Y139" s="1692"/>
      <c r="Z139" s="1538"/>
      <c r="AA139" s="1541"/>
      <c r="AB139" s="1538"/>
      <c r="AC139" s="1538"/>
      <c r="AD139" s="1538"/>
    </row>
    <row customHeight="1" ht="9">
      <c r="A140" s="1537"/>
      <c r="B140" s="1537"/>
      <c r="C140" s="1535"/>
      <c r="D140" s="1535"/>
      <c r="E140" s="1535"/>
      <c r="F140" s="1535"/>
      <c r="G140" s="1535"/>
      <c r="H140" s="1583"/>
      <c r="I140" s="1583"/>
      <c r="J140" s="1583"/>
      <c r="K140" s="1583"/>
      <c r="L140" s="1583"/>
      <c r="M140" s="1535"/>
      <c r="N140" s="1582"/>
      <c r="O140" s="1535"/>
      <c r="P140" s="1535"/>
      <c r="Q140" s="1535"/>
      <c r="R140" s="1535"/>
      <c r="S140" s="1535"/>
      <c r="T140" s="1535"/>
      <c r="U140" s="1535"/>
      <c r="V140" s="1535"/>
      <c r="W140" s="1535"/>
      <c r="X140" s="1535"/>
      <c r="Y140" s="1692"/>
      <c r="Z140" s="1538"/>
      <c r="AA140" s="1541"/>
      <c r="AB140" s="1538"/>
      <c r="AC140" s="1538"/>
      <c r="AD140" s="1538"/>
    </row>
    <row customHeight="1" ht="9">
      <c r="A141" s="1537"/>
      <c r="B141" s="1537"/>
      <c r="C141" s="1535"/>
      <c r="D141" s="1535"/>
      <c r="E141" s="1535"/>
      <c r="F141" s="1535"/>
      <c r="G141" s="1535"/>
      <c r="H141" s="1583"/>
      <c r="I141" s="1583"/>
      <c r="J141" s="1583"/>
      <c r="K141" s="1583"/>
      <c r="L141" s="1583"/>
      <c r="M141" s="1535"/>
      <c r="N141" s="1582"/>
      <c r="O141" s="1535"/>
      <c r="P141" s="1535"/>
      <c r="Q141" s="1535"/>
      <c r="R141" s="1535"/>
      <c r="S141" s="1535"/>
      <c r="T141" s="1535"/>
      <c r="U141" s="1535"/>
      <c r="V141" s="1535"/>
      <c r="W141" s="1535"/>
      <c r="X141" s="1535"/>
      <c r="Y141" s="1692"/>
      <c r="Z141" s="1538"/>
      <c r="AA141" s="1541"/>
      <c r="AB141" s="1538"/>
      <c r="AC141" s="1538"/>
      <c r="AD141" s="1538"/>
    </row>
    <row customHeight="1" ht="9">
      <c r="A142" s="1537"/>
      <c r="B142" s="1537"/>
      <c r="C142" s="1535"/>
      <c r="D142" s="1535"/>
      <c r="E142" s="1535"/>
      <c r="F142" s="1535"/>
      <c r="G142" s="1535"/>
      <c r="H142" s="1583"/>
      <c r="I142" s="1583"/>
      <c r="J142" s="1583"/>
      <c r="K142" s="1583"/>
      <c r="L142" s="1583"/>
      <c r="M142" s="1535"/>
      <c r="N142" s="1582"/>
      <c r="O142" s="1535"/>
      <c r="P142" s="1535"/>
      <c r="Q142" s="1535"/>
      <c r="R142" s="1535"/>
      <c r="S142" s="1535"/>
      <c r="T142" s="1535"/>
      <c r="U142" s="1535"/>
      <c r="V142" s="1535"/>
      <c r="W142" s="1535"/>
      <c r="X142" s="1535"/>
      <c r="Y142" s="1692"/>
      <c r="Z142" s="1538"/>
      <c r="AA142" s="1541"/>
      <c r="AB142" s="1538"/>
      <c r="AC142" s="1538"/>
      <c r="AD142" s="1538"/>
    </row>
    <row customHeight="1" ht="9">
      <c r="A143" s="1537"/>
      <c r="B143" s="1537"/>
      <c r="C143" s="1535"/>
      <c r="D143" s="1535"/>
      <c r="E143" s="1535"/>
      <c r="F143" s="1535"/>
      <c r="G143" s="1535"/>
      <c r="H143" s="1583"/>
      <c r="I143" s="1583"/>
      <c r="J143" s="1583"/>
      <c r="K143" s="1583"/>
      <c r="L143" s="1583"/>
      <c r="M143" s="1535"/>
      <c r="N143" s="1582"/>
      <c r="O143" s="1535"/>
      <c r="P143" s="1535"/>
      <c r="Q143" s="1535"/>
      <c r="R143" s="1535"/>
      <c r="S143" s="1535"/>
      <c r="T143" s="1535"/>
      <c r="U143" s="1535"/>
      <c r="V143" s="1535"/>
      <c r="W143" s="1535"/>
      <c r="X143" s="1535"/>
      <c r="Y143" s="1692"/>
      <c r="Z143" s="1538"/>
      <c r="AA143" s="1541"/>
      <c r="AB143" s="1538"/>
      <c r="AC143" s="1538"/>
      <c r="AD143" s="1538"/>
    </row>
    <row customHeight="1" ht="9">
      <c r="A144" s="1537"/>
      <c r="B144" s="1537"/>
      <c r="C144" s="1535"/>
      <c r="D144" s="1535"/>
      <c r="E144" s="1535"/>
      <c r="F144" s="1535"/>
      <c r="G144" s="1535"/>
      <c r="H144" s="1583"/>
      <c r="I144" s="1583"/>
      <c r="J144" s="1583"/>
      <c r="K144" s="1583"/>
      <c r="L144" s="1583"/>
      <c r="M144" s="1535"/>
      <c r="N144" s="1582"/>
      <c r="O144" s="1535"/>
      <c r="P144" s="1535"/>
      <c r="Q144" s="1535"/>
      <c r="R144" s="1535"/>
      <c r="S144" s="1535"/>
      <c r="T144" s="1535"/>
      <c r="U144" s="1535"/>
      <c r="V144" s="1535"/>
      <c r="W144" s="1535"/>
      <c r="X144" s="1535"/>
      <c r="Y144" s="1692"/>
      <c r="Z144" s="1538"/>
      <c r="AA144" s="1541"/>
      <c r="AB144" s="1538"/>
      <c r="AC144" s="1538"/>
      <c r="AD144" s="1538"/>
    </row>
    <row customHeight="1" ht="9">
      <c r="A145" s="1537"/>
      <c r="B145" s="1537"/>
      <c r="C145" s="1535"/>
      <c r="D145" s="1535"/>
      <c r="E145" s="1535"/>
      <c r="F145" s="1535"/>
      <c r="G145" s="1535"/>
      <c r="H145" s="1583"/>
      <c r="I145" s="1583"/>
      <c r="J145" s="1583"/>
      <c r="K145" s="1583"/>
      <c r="L145" s="1583"/>
      <c r="M145" s="1535"/>
      <c r="N145" s="1582"/>
      <c r="O145" s="1535"/>
      <c r="P145" s="1535"/>
      <c r="Q145" s="1535"/>
      <c r="R145" s="1535"/>
      <c r="S145" s="1535"/>
      <c r="T145" s="1535"/>
      <c r="U145" s="1535"/>
      <c r="V145" s="1535"/>
      <c r="W145" s="1535"/>
      <c r="X145" s="1535"/>
      <c r="Y145" s="1692"/>
      <c r="Z145" s="1538"/>
      <c r="AA145" s="1541"/>
      <c r="AB145" s="1538"/>
      <c r="AC145" s="1538"/>
      <c r="AD145" s="1538"/>
    </row>
    <row customHeight="1" ht="9">
      <c r="A146" s="1537"/>
      <c r="B146" s="1537"/>
      <c r="C146" s="1535"/>
      <c r="D146" s="1535"/>
      <c r="E146" s="1535"/>
      <c r="F146" s="1535"/>
      <c r="G146" s="1535"/>
      <c r="H146" s="1583"/>
      <c r="I146" s="1583"/>
      <c r="J146" s="1583"/>
      <c r="K146" s="1583"/>
      <c r="L146" s="1583"/>
      <c r="M146" s="1535"/>
      <c r="N146" s="1582"/>
      <c r="O146" s="1535"/>
      <c r="P146" s="1535"/>
      <c r="Q146" s="1535"/>
      <c r="R146" s="1535"/>
      <c r="S146" s="1535"/>
      <c r="T146" s="1535"/>
      <c r="U146" s="1535"/>
      <c r="V146" s="1535"/>
      <c r="W146" s="1535"/>
      <c r="X146" s="1535"/>
      <c r="Y146" s="1692"/>
      <c r="Z146" s="1538"/>
      <c r="AA146" s="1541"/>
      <c r="AB146" s="1538"/>
      <c r="AC146" s="1538"/>
      <c r="AD146" s="1538"/>
    </row>
    <row customHeight="1" ht="9">
      <c r="A147" s="1537"/>
      <c r="B147" s="1537"/>
      <c r="C147" s="1537"/>
      <c r="D147" s="1537"/>
      <c r="E147" s="1537"/>
      <c r="F147" s="1537"/>
      <c r="G147" s="1537"/>
      <c r="H147" s="1537"/>
      <c r="I147" s="1537"/>
      <c r="J147" s="1537"/>
      <c r="K147" s="1537"/>
      <c r="L147" s="1537"/>
      <c r="M147" s="1537"/>
      <c r="N147" s="1537"/>
      <c r="O147" s="1537"/>
      <c r="P147" s="1537"/>
      <c r="Q147" s="1537"/>
      <c r="R147" s="1537"/>
      <c r="S147" s="1537"/>
      <c r="T147" s="1537"/>
      <c r="U147" s="1537"/>
      <c r="V147" s="1537"/>
      <c r="W147" s="1537"/>
      <c r="X147" s="1537"/>
      <c r="Y147" s="1537"/>
      <c r="Z147" s="1537"/>
      <c r="AA147" s="1537"/>
      <c r="AB147" s="1537"/>
      <c r="AC147" s="1537"/>
      <c r="AD147" s="1537"/>
    </row>
    <row customHeight="1" ht="90">
      <c r="A148" s="1537" t="s">
        <v>1734</v>
      </c>
      <c r="B148" s="1537"/>
      <c r="C148" s="1535" t="s">
        <v>2299</v>
      </c>
      <c r="D148" s="1535" t="s">
        <v>1636</v>
      </c>
      <c r="E148" s="1535" t="s">
        <v>1736</v>
      </c>
      <c r="F148" s="1535" t="s">
        <v>2300</v>
      </c>
      <c r="G148" s="1535"/>
      <c r="H148" s="1535"/>
      <c r="I148" s="1655"/>
      <c r="J148" s="1655"/>
      <c r="K148" s="1655"/>
      <c r="L148" s="1655"/>
      <c r="M148" s="158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540"/>
      <c r="O148" s="1535"/>
      <c r="P148" s="1536"/>
      <c r="Q148" s="1536"/>
      <c r="R148" s="1536"/>
      <c r="S148" s="1535"/>
      <c r="T148" s="1535" t="s">
        <v>2301</v>
      </c>
      <c r="U148" s="153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536"/>
      <c r="W148" s="1536"/>
      <c r="X148" s="1535" t="s">
        <v>2302</v>
      </c>
      <c r="Y148" s="1692"/>
      <c r="Z148" s="1538"/>
      <c r="AA148" s="1541"/>
      <c r="AB148" s="1538"/>
      <c r="AC148" s="1538"/>
      <c r="AD148" s="1538"/>
    </row>
    <row customHeight="1" ht="9">
      <c r="A149" s="1537"/>
      <c r="B149" s="1537"/>
      <c r="C149" s="1537"/>
      <c r="D149" s="1537"/>
      <c r="E149" s="1537"/>
      <c r="F149" s="1537"/>
      <c r="G149" s="1537"/>
      <c r="H149" s="1537"/>
      <c r="I149" s="1537"/>
      <c r="J149" s="1537"/>
      <c r="K149" s="1537"/>
      <c r="L149" s="1537"/>
      <c r="M149" s="1537"/>
      <c r="N149" s="1537"/>
      <c r="O149" s="1537"/>
      <c r="P149" s="1537"/>
      <c r="Q149" s="1537"/>
      <c r="R149" s="1537"/>
      <c r="S149" s="1537"/>
      <c r="T149" s="1537"/>
      <c r="U149" s="1537"/>
      <c r="V149" s="1537"/>
      <c r="W149" s="1537"/>
      <c r="X149" s="1537"/>
      <c r="Y149" s="1537"/>
      <c r="Z149" s="1537"/>
      <c r="AA149" s="1537"/>
      <c r="AB149" s="1537"/>
      <c r="AC149" s="1537"/>
      <c r="AD149" s="1537"/>
    </row>
    <row customHeight="1" ht="9">
      <c r="A150" s="1537" t="s">
        <v>1738</v>
      </c>
      <c r="B150" s="1537"/>
      <c r="C150" s="1535"/>
      <c r="D150" s="1535"/>
      <c r="E150" s="1535"/>
      <c r="F150" s="1535"/>
      <c r="G150" s="1535"/>
      <c r="H150" s="1535"/>
      <c r="I150" s="1535"/>
      <c r="J150" s="1535"/>
      <c r="K150" s="1535"/>
      <c r="L150" s="1535"/>
      <c r="M150" s="1535"/>
      <c r="N150" s="1535"/>
      <c r="O150" s="1535"/>
      <c r="P150" s="1535"/>
      <c r="Q150" s="1535"/>
      <c r="R150" s="1535"/>
      <c r="S150" s="1535"/>
      <c r="T150" s="1535"/>
      <c r="U150" s="1535"/>
      <c r="V150" s="1535"/>
      <c r="W150" s="1535"/>
      <c r="X150" s="1535"/>
      <c r="Y150" s="1692"/>
      <c r="Z150" s="1538"/>
      <c r="AA150" s="1541"/>
      <c r="AB150" s="1538"/>
      <c r="AC150" s="1538"/>
      <c r="AD150" s="1538"/>
    </row>
    <row customHeight="1" ht="9">
      <c r="A151" s="1537"/>
      <c r="B151" s="1537"/>
      <c r="C151" s="1537"/>
      <c r="D151" s="1537"/>
      <c r="E151" s="1537"/>
      <c r="F151" s="1537"/>
      <c r="G151" s="1537"/>
      <c r="H151" s="1537"/>
      <c r="I151" s="1537"/>
      <c r="J151" s="1537"/>
      <c r="K151" s="1537"/>
      <c r="L151" s="1537"/>
      <c r="M151" s="1537"/>
      <c r="N151" s="1537"/>
      <c r="O151" s="1537"/>
      <c r="P151" s="1537"/>
      <c r="Q151" s="1537"/>
      <c r="R151" s="1537"/>
      <c r="S151" s="1537"/>
      <c r="T151" s="1537"/>
      <c r="U151" s="1537"/>
      <c r="V151" s="1537"/>
      <c r="W151" s="1537"/>
      <c r="X151" s="1537"/>
      <c r="Y151" s="1537"/>
      <c r="Z151" s="1537"/>
      <c r="AA151" s="1537"/>
      <c r="AB151" s="1537"/>
      <c r="AC151" s="1537"/>
      <c r="AD151" s="1537"/>
    </row>
    <row customHeight="1" ht="9">
      <c r="A152" s="1537" t="s">
        <v>1741</v>
      </c>
      <c r="B152" s="1537"/>
      <c r="C152" s="1535"/>
      <c r="D152" s="1535"/>
      <c r="E152" s="1535"/>
      <c r="F152" s="1535"/>
      <c r="G152" s="1535"/>
      <c r="H152" s="1535"/>
      <c r="I152" s="1535"/>
      <c r="J152" s="1535"/>
      <c r="K152" s="1535"/>
      <c r="L152" s="1535"/>
      <c r="M152" s="1535"/>
      <c r="N152" s="1535"/>
      <c r="O152" s="1535"/>
      <c r="P152" s="1535"/>
      <c r="Q152" s="1535"/>
      <c r="R152" s="1535"/>
      <c r="S152" s="1535"/>
      <c r="T152" s="1535"/>
      <c r="U152" s="1535"/>
      <c r="V152" s="1535"/>
      <c r="W152" s="1535"/>
      <c r="X152" s="1535"/>
      <c r="Y152" s="1692"/>
      <c r="Z152" s="1538"/>
      <c r="AA152" s="1541"/>
      <c r="AB152" s="1538"/>
      <c r="AC152" s="1538"/>
      <c r="AD152" s="1538"/>
    </row>
    <row customHeight="1" ht="9">
      <c r="A153" s="1537"/>
      <c r="B153" s="1537"/>
      <c r="C153" s="1537"/>
      <c r="D153" s="1537"/>
      <c r="E153" s="1537"/>
      <c r="F153" s="1537"/>
      <c r="G153" s="1537"/>
      <c r="H153" s="1537"/>
      <c r="I153" s="1537"/>
      <c r="J153" s="1537"/>
      <c r="K153" s="1537"/>
      <c r="L153" s="1537"/>
      <c r="M153" s="1537"/>
      <c r="N153" s="1537"/>
      <c r="O153" s="1537"/>
      <c r="P153" s="1537"/>
      <c r="Q153" s="1537"/>
      <c r="R153" s="1537"/>
      <c r="S153" s="1537"/>
      <c r="T153" s="1537"/>
      <c r="U153" s="1537"/>
      <c r="V153" s="1537"/>
      <c r="W153" s="1537"/>
      <c r="X153" s="1537"/>
      <c r="Y153" s="1537"/>
      <c r="Z153" s="1537"/>
      <c r="AA153" s="1537"/>
      <c r="AB153" s="1537"/>
      <c r="AC153" s="1537"/>
      <c r="AD153" s="1537"/>
    </row>
    <row customHeight="1" ht="9">
      <c r="A154" s="1537" t="s">
        <v>1745</v>
      </c>
      <c r="B154" s="1537"/>
      <c r="C154" s="1535"/>
      <c r="D154" s="1535"/>
      <c r="E154" s="1535"/>
      <c r="F154" s="1535"/>
      <c r="G154" s="1535"/>
      <c r="H154" s="1535"/>
      <c r="I154" s="1535"/>
      <c r="J154" s="1535"/>
      <c r="K154" s="1535"/>
      <c r="L154" s="1535"/>
      <c r="M154" s="1535"/>
      <c r="N154" s="1535"/>
      <c r="O154" s="1535"/>
      <c r="P154" s="1535"/>
      <c r="Q154" s="1535"/>
      <c r="R154" s="1535"/>
      <c r="S154" s="1535"/>
      <c r="T154" s="1535"/>
      <c r="U154" s="1535"/>
      <c r="V154" s="1535"/>
      <c r="W154" s="1535"/>
      <c r="X154" s="1535"/>
      <c r="Y154" s="1692"/>
      <c r="Z154" s="1538"/>
      <c r="AA154" s="1541"/>
      <c r="AB154" s="1538"/>
      <c r="AC154" s="1538"/>
      <c r="AD154" s="1538"/>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C5BB3D-0FE8-B17F-E84D-1608E018115F}"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62148" width="10.57421875" hidden="1"/>
    <col min="2" max="2" style="62148" width="11.00390625" hidden="1" customWidth="1"/>
    <col min="3" max="3" style="62148" width="10.57421875" hidden="1"/>
    <col min="4" max="4" style="62148" width="11.8515625" hidden="1" customWidth="1"/>
    <col min="5" max="5" style="62148" width="12.28125" hidden="1" customWidth="1"/>
    <col min="6" max="8" style="61371" width="12.28125" hidden="1" customWidth="1"/>
    <col min="9" max="9" style="63184" width="3.00390625" customWidth="1"/>
    <col min="10" max="11" style="62288" width="3.00390625" customWidth="1"/>
    <col min="12" max="12" style="63156" width="12.00390625" customWidth="1"/>
    <col min="13" max="13" style="62286" width="31.00390625" customWidth="1"/>
    <col min="14" max="14" style="62286" width="1.00390625" customWidth="1"/>
    <col min="15" max="18" style="62286" width="24.00390625" customWidth="1"/>
    <col min="19" max="19" style="62286" width="11.00390625" customWidth="1"/>
    <col min="20" max="20" style="62286" width="3.7109375" customWidth="1"/>
    <col min="21" max="21" style="62286" width="11.00390625" customWidth="1"/>
    <col min="22" max="22" style="62286" width="8.57421875" customWidth="1"/>
    <col min="23" max="23" style="62286" width="4.00390625" customWidth="1"/>
    <col min="24" max="24" style="62286" width="115.00390625" customWidth="1"/>
    <col min="25" max="29" style="61695" width="10.00390625" customWidth="1"/>
    <col min="30" max="30" style="62286" width="10.57421875" hidden="1"/>
  </cols>
  <sheetData>
    <row customHeight="1" ht="22.5" hidden="1">
      <c r="R1" s="1019"/>
      <c r="S1" s="1019"/>
      <c r="AD1" s="1847" t="s">
        <v>14</v>
      </c>
    </row>
    <row customHeight="1" ht="14.25" hidden="1">
      <c r="V2" s="1019"/>
      <c r="AD2" s="1847">
        <v>0</v>
      </c>
    </row>
    <row customHeight="1" ht="14.25" hidden="1">
      <c r="AD3" s="1847">
        <v>0</v>
      </c>
    </row>
    <row customHeight="1" ht="14.699999999999998">
      <c r="J4" s="1068"/>
      <c r="K4" s="1068"/>
      <c r="L4" s="1967"/>
      <c r="M4" s="1055"/>
      <c r="N4" s="1055"/>
      <c r="O4" s="1201"/>
      <c r="P4" s="1201"/>
      <c r="Q4" s="1201"/>
      <c r="R4" s="1201"/>
      <c r="S4" s="1201"/>
      <c r="T4" s="1201"/>
      <c r="U4" s="1201"/>
      <c r="V4" s="1201"/>
      <c r="AD4" s="1847">
        <v>14</v>
      </c>
    </row>
    <row customHeight="1" ht="67.2">
      <c r="J5" s="1068"/>
      <c r="K5" s="1068"/>
      <c r="L5" s="3295" t="s">
        <v>2303</v>
      </c>
      <c r="M5" s="3295"/>
      <c r="N5" s="3295"/>
      <c r="O5" s="3295"/>
      <c r="P5" s="3295"/>
      <c r="Q5" s="3295"/>
      <c r="R5" s="3295"/>
      <c r="S5" s="3295"/>
      <c r="T5" s="3295"/>
      <c r="U5" s="3295"/>
      <c r="V5" s="1935"/>
      <c r="AD5" s="1847">
        <v>64</v>
      </c>
    </row>
    <row customHeight="1" ht="14.699999999999998">
      <c r="J6" s="1068"/>
      <c r="K6" s="1068"/>
      <c r="L6" s="3296" t="str">
        <f>IF(org=0,"Не определено",org)</f>
        <v>АО "ДГК"</v>
      </c>
      <c r="M6" s="3296"/>
      <c r="N6" s="3296"/>
      <c r="O6" s="3296"/>
      <c r="P6" s="3296"/>
      <c r="Q6" s="3296"/>
      <c r="R6" s="3296"/>
      <c r="S6" s="3296"/>
      <c r="T6" s="3296"/>
      <c r="U6" s="3296"/>
      <c r="V6" s="1935"/>
      <c r="AD6" s="1847">
        <v>14</v>
      </c>
    </row>
    <row customHeight="1" ht="14.699999999999998">
      <c r="J7" s="1068"/>
      <c r="K7" s="1068"/>
      <c r="L7" s="1967"/>
      <c r="M7" s="1055"/>
      <c r="N7" s="1055"/>
      <c r="O7" s="1014"/>
      <c r="P7" s="1014"/>
      <c r="Q7" s="1014"/>
      <c r="R7" s="1014"/>
      <c r="S7" s="1014"/>
      <c r="T7" s="1014"/>
      <c r="U7" s="1014"/>
      <c r="V7" s="1014"/>
      <c r="W7" s="1201"/>
      <c r="AD7" s="1847">
        <v>14</v>
      </c>
    </row>
    <row s="63055" customFormat="1" customHeight="1" ht="48.29999999999999">
      <c r="A8" s="2060"/>
      <c r="B8" s="2060"/>
      <c r="C8" s="2060"/>
      <c r="D8" s="2060"/>
      <c r="E8" s="2060"/>
      <c r="F8" s="2060"/>
      <c r="G8" s="2060"/>
      <c r="H8" s="2060"/>
      <c r="L8" s="1968"/>
      <c r="M8" s="987" t="s">
        <v>42</v>
      </c>
      <c r="N8" s="996"/>
      <c r="O8" s="2943" t="str">
        <f>IF(TITLE_NAME_OR_PR_CHANGE="",IF(TITLE_NAME_OR_PR="","",TITLE_NAME_OR_PR),TITLE_NAME_OR_PR_CHANGE)</f>
        <v/>
      </c>
      <c r="P8" s="2943"/>
      <c r="Q8" s="2943"/>
      <c r="R8" s="2943"/>
      <c r="S8" s="2943"/>
      <c r="T8" s="2943"/>
      <c r="U8" s="2943"/>
      <c r="V8" s="1018"/>
      <c r="W8" s="1018"/>
      <c r="X8" s="972"/>
      <c r="Y8" s="1060"/>
      <c r="Z8" s="1060"/>
      <c r="AA8" s="1060"/>
      <c r="AB8" s="1060"/>
      <c r="AC8" s="1060"/>
      <c r="AD8" s="1110">
        <v>46</v>
      </c>
    </row>
    <row s="63055" customFormat="1" customHeight="1" ht="24">
      <c r="A9" s="2060"/>
      <c r="B9" s="2060"/>
      <c r="C9" s="2060"/>
      <c r="D9" s="2060"/>
      <c r="E9" s="2060"/>
      <c r="F9" s="2060"/>
      <c r="G9" s="2060"/>
      <c r="H9" s="2060"/>
      <c r="L9" s="1968"/>
      <c r="M9" s="987" t="s">
        <v>495</v>
      </c>
      <c r="N9" s="996"/>
      <c r="O9" s="2943" t="str">
        <f>IF(TITLE_DATE_CHANGE_PERIOD="",IF(TITLE_DATE_PR="","",TITLE_DATE_PR),TITLE_DATE_CHANGE_PERIOD)</f>
        <v>46023</v>
      </c>
      <c r="P9" s="2943"/>
      <c r="Q9" s="2943"/>
      <c r="R9" s="2943"/>
      <c r="S9" s="2943"/>
      <c r="T9" s="2943"/>
      <c r="U9" s="2943"/>
      <c r="V9" s="1018"/>
      <c r="W9" s="1018"/>
      <c r="X9" s="972"/>
      <c r="Y9" s="1060"/>
      <c r="Z9" s="1060"/>
      <c r="AA9" s="1060"/>
      <c r="AB9" s="1060"/>
      <c r="AC9" s="1060"/>
      <c r="AD9" s="1110">
        <v>23</v>
      </c>
    </row>
    <row s="63055" customFormat="1" customHeight="1" ht="24">
      <c r="A10" s="2060"/>
      <c r="B10" s="2060"/>
      <c r="C10" s="2060"/>
      <c r="D10" s="2060"/>
      <c r="E10" s="2060"/>
      <c r="F10" s="2060"/>
      <c r="G10" s="2060"/>
      <c r="H10" s="2060"/>
      <c r="L10" s="1942"/>
      <c r="M10" s="987" t="s">
        <v>496</v>
      </c>
      <c r="N10" s="996"/>
      <c r="O10" s="2943" t="str">
        <f>IF(TITLE_NUMBER_PR_CHANGE="",IF(TITLE_NUMBER_PR="","",TITLE_NUMBER_PR),TITLE_NUMBER_PR_CHANGE)</f>
        <v>Исх-260/1781</v>
      </c>
      <c r="P10" s="2943"/>
      <c r="Q10" s="2943"/>
      <c r="R10" s="2943"/>
      <c r="S10" s="2943"/>
      <c r="T10" s="2943"/>
      <c r="U10" s="2943"/>
      <c r="V10" s="1018"/>
      <c r="W10" s="1018"/>
      <c r="X10" s="972"/>
      <c r="Y10" s="1060"/>
      <c r="Z10" s="1060"/>
      <c r="AA10" s="1060"/>
      <c r="AB10" s="1060"/>
      <c r="AC10" s="1060"/>
      <c r="AD10" s="1110">
        <v>23</v>
      </c>
    </row>
    <row s="63055" customFormat="1" customHeight="1" ht="24">
      <c r="A11" s="2060"/>
      <c r="B11" s="2060"/>
      <c r="C11" s="2060"/>
      <c r="D11" s="2060"/>
      <c r="E11" s="2060"/>
      <c r="F11" s="2060"/>
      <c r="G11" s="2060"/>
      <c r="H11" s="2060"/>
      <c r="L11" s="1942"/>
      <c r="M11" s="987" t="s">
        <v>43</v>
      </c>
      <c r="N11" s="996"/>
      <c r="O11" s="2943" t="str">
        <f>IF(TITLE_IST_PUB_CHANGE="",IF(TITLE_IST_PUB="","",TITLE_IST_PUB),TITLE_IST_PUB_CHANGE)</f>
        <v/>
      </c>
      <c r="P11" s="2943"/>
      <c r="Q11" s="2943"/>
      <c r="R11" s="2943"/>
      <c r="S11" s="2943"/>
      <c r="T11" s="2943"/>
      <c r="U11" s="2943"/>
      <c r="V11" s="1018"/>
      <c r="W11" s="1018"/>
      <c r="X11" s="972"/>
      <c r="Y11" s="1060"/>
      <c r="Z11" s="1060"/>
      <c r="AA11" s="1060"/>
      <c r="AB11" s="1060"/>
      <c r="AC11" s="1060"/>
      <c r="AD11" s="1110">
        <v>23</v>
      </c>
    </row>
    <row s="63055" customFormat="1" customHeight="1" ht="11.25" hidden="1">
      <c r="A12" s="2060"/>
      <c r="B12" s="2060"/>
      <c r="C12" s="2060"/>
      <c r="D12" s="2060"/>
      <c r="E12" s="2060"/>
      <c r="F12" s="2060"/>
      <c r="G12" s="2060"/>
      <c r="H12" s="2060"/>
      <c r="L12" s="3297"/>
      <c r="M12" s="3297"/>
      <c r="N12" s="1979"/>
      <c r="O12" s="1018"/>
      <c r="P12" s="1018"/>
      <c r="Q12" s="1018"/>
      <c r="R12" s="1018"/>
      <c r="S12" s="1018"/>
      <c r="T12" s="1018"/>
      <c r="U12" s="1018"/>
      <c r="V12" s="970" t="s">
        <v>499</v>
      </c>
      <c r="Y12" s="1060"/>
      <c r="Z12" s="1060"/>
      <c r="AA12" s="1060"/>
      <c r="AB12" s="1060"/>
      <c r="AC12" s="1060"/>
      <c r="AD12" s="1110">
        <v>0</v>
      </c>
    </row>
    <row customHeight="1" ht="14.699999999999998">
      <c r="J13" s="1068"/>
      <c r="K13" s="1068"/>
      <c r="L13" s="1967"/>
      <c r="M13" s="1055"/>
      <c r="N13" s="1936"/>
      <c r="O13" s="2944"/>
      <c r="P13" s="2944"/>
      <c r="Q13" s="2944"/>
      <c r="R13" s="2944"/>
      <c r="S13" s="2944"/>
      <c r="T13" s="2944"/>
      <c r="U13" s="2944"/>
      <c r="V13" s="2944"/>
      <c r="AD13" s="1847">
        <v>14</v>
      </c>
    </row>
    <row customHeight="1" ht="14.699999999999998">
      <c r="J14" s="1068"/>
      <c r="K14" s="1068"/>
      <c r="L14" s="2819" t="s">
        <v>375</v>
      </c>
      <c r="M14" s="2819"/>
      <c r="N14" s="2819"/>
      <c r="O14" s="2819"/>
      <c r="P14" s="2819"/>
      <c r="Q14" s="2819"/>
      <c r="R14" s="2819"/>
      <c r="S14" s="2819"/>
      <c r="T14" s="2819"/>
      <c r="U14" s="2819"/>
      <c r="V14" s="2819"/>
      <c r="W14" s="2819"/>
      <c r="X14" s="2819" t="s">
        <v>376</v>
      </c>
      <c r="AD14" s="1847">
        <v>14</v>
      </c>
    </row>
    <row customHeight="1" ht="14.699999999999998">
      <c r="J15" s="1068"/>
      <c r="K15" s="1068"/>
      <c r="L15" s="2965" t="s">
        <v>89</v>
      </c>
      <c r="M15" s="2901" t="s">
        <v>500</v>
      </c>
      <c r="N15" s="993"/>
      <c r="O15" s="2966" t="s">
        <v>2304</v>
      </c>
      <c r="P15" s="2967"/>
      <c r="Q15" s="2967"/>
      <c r="R15" s="2967"/>
      <c r="S15" s="2967"/>
      <c r="T15" s="2967"/>
      <c r="U15" s="2968"/>
      <c r="V15" s="2969" t="s">
        <v>502</v>
      </c>
      <c r="W15" s="2972" t="s">
        <v>1218</v>
      </c>
      <c r="X15" s="2819"/>
      <c r="AD15" s="1847">
        <v>14</v>
      </c>
    </row>
    <row customHeight="1" ht="35.699999999999996">
      <c r="J16" s="1068"/>
      <c r="K16" s="1068"/>
      <c r="L16" s="2965"/>
      <c r="M16" s="2901"/>
      <c r="N16" s="1723"/>
      <c r="O16" s="2952" t="s">
        <v>505</v>
      </c>
      <c r="P16" s="2952" t="s">
        <v>506</v>
      </c>
      <c r="Q16" s="2954" t="s">
        <v>507</v>
      </c>
      <c r="R16" s="2955"/>
      <c r="S16" s="2954" t="s">
        <v>523</v>
      </c>
      <c r="T16" s="2961"/>
      <c r="U16" s="2955"/>
      <c r="V16" s="2970"/>
      <c r="W16" s="2973"/>
      <c r="X16" s="2819"/>
      <c r="AD16" s="1847">
        <v>34</v>
      </c>
    </row>
    <row customHeight="1" ht="35.699999999999996">
      <c r="A17" s="2062" t="s">
        <v>142</v>
      </c>
      <c r="B17" s="2062" t="s">
        <v>143</v>
      </c>
      <c r="C17" s="2062" t="s">
        <v>144</v>
      </c>
      <c r="D17" s="2062" t="s">
        <v>145</v>
      </c>
      <c r="E17" s="2062"/>
      <c r="J17" s="1068"/>
      <c r="K17" s="1068"/>
      <c r="L17" s="2965"/>
      <c r="M17" s="2901"/>
      <c r="N17" s="994"/>
      <c r="O17" s="2953"/>
      <c r="P17" s="2953"/>
      <c r="Q17" s="1914" t="s">
        <v>516</v>
      </c>
      <c r="R17" s="1914" t="s">
        <v>517</v>
      </c>
      <c r="S17" s="1984" t="s">
        <v>518</v>
      </c>
      <c r="T17" s="2962" t="s">
        <v>519</v>
      </c>
      <c r="U17" s="2963"/>
      <c r="V17" s="2971"/>
      <c r="W17" s="2974"/>
      <c r="X17" s="2819"/>
      <c r="AD17" s="1847">
        <v>34</v>
      </c>
    </row>
    <row s="61193" customFormat="1" customHeight="1" ht="11.549999999999999">
      <c r="A18" s="2062"/>
      <c r="B18" s="2062"/>
      <c r="C18" s="2062"/>
      <c r="D18" s="2062"/>
      <c r="E18" s="2062"/>
      <c r="F18" s="2054"/>
      <c r="G18" s="2054"/>
      <c r="H18" s="2054"/>
      <c r="I18" s="1938"/>
      <c r="J18" s="1939"/>
      <c r="K18" s="1946">
        <v>1</v>
      </c>
      <c r="L18" s="1969" t="s">
        <v>118</v>
      </c>
      <c r="M18" s="1947" t="s">
        <v>103</v>
      </c>
      <c r="N18" s="1937" t="str">
        <f>OFFSET(N18,0,-1)</f>
        <v>2</v>
      </c>
      <c r="O18" s="1981">
        <f>OFFSET(O18,0,-1)+1</f>
        <v>3</v>
      </c>
      <c r="P18" s="1981"/>
      <c r="Q18" s="1981">
        <f>OFFSET(Q18,0,-1)+1</f>
        <v>1</v>
      </c>
      <c r="R18" s="1981">
        <f>OFFSET(R18,0,-1)+1</f>
        <v>2</v>
      </c>
      <c r="S18" s="1981">
        <f>OFFSET(S18,0,-1)+1</f>
        <v>3</v>
      </c>
      <c r="T18" s="2964">
        <f>OFFSET(T18,0,-1)+1</f>
        <v>4</v>
      </c>
      <c r="U18" s="2964"/>
      <c r="V18" s="1981">
        <f>OFFSET(V18,0,-2)+1</f>
        <v>5</v>
      </c>
      <c r="W18" s="1937">
        <f>OFFSET(W18,0,-1)</f>
        <v>5</v>
      </c>
      <c r="X18" s="1981">
        <f>OFFSET(X18,0,-1)+1</f>
        <v>6</v>
      </c>
      <c r="Y18" s="1203"/>
      <c r="Z18" s="1203"/>
      <c r="AA18" s="1203"/>
      <c r="AB18" s="1203"/>
      <c r="AC18" s="1203"/>
      <c r="AD18" s="1188">
        <v>11</v>
      </c>
    </row>
    <row customHeight="1" ht="21">
      <c r="A19" s="2055" t="s">
        <v>224</v>
      </c>
      <c r="B19" s="2055" t="s">
        <v>225</v>
      </c>
      <c r="C19" s="2055" t="s">
        <v>226</v>
      </c>
      <c r="D19" s="2055" t="s">
        <v>227</v>
      </c>
      <c r="E19" s="2055"/>
      <c r="F19" s="2057"/>
      <c r="G19" s="2057"/>
      <c r="H19" s="2057"/>
      <c r="I19" s="1053"/>
      <c r="J19" s="1052"/>
      <c r="K19" s="1047"/>
      <c r="L19" s="1985">
        <f>INDEX(PT_DIFFERENTIATION_NUM_NTAR,MATCH(A19,PT_DIFFERENTIATION_NTAR_ID,0))</f>
        <v>1</v>
      </c>
      <c r="M19" s="990" t="s">
        <v>131</v>
      </c>
      <c r="N19" s="992"/>
      <c r="O19" s="3298" t="str">
        <f>INDEX(PT_DIFFERENTIATION_NTAR,MATCH(A19,PT_DIFFERENTIATION_NTAR_ID,0))</f>
        <v>Тарифы на теплоноситель, поставляемый потребителям Артемовского городского округа</v>
      </c>
      <c r="P19" s="3298"/>
      <c r="Q19" s="3298"/>
      <c r="R19" s="3298"/>
      <c r="S19" s="3298"/>
      <c r="T19" s="3298"/>
      <c r="U19" s="3298"/>
      <c r="V19" s="3298"/>
      <c r="W19" s="3298"/>
      <c r="X19" s="1950" t="s">
        <v>471</v>
      </c>
      <c r="Z19" s="1192"/>
      <c r="AA19" s="1192" t="str">
        <f>IF(M19="","",M19)</f>
        <v>Наименование тарифа</v>
      </c>
      <c r="AB19" s="1192"/>
      <c r="AC19" s="1192"/>
      <c r="AD19" s="1847">
        <v>20</v>
      </c>
    </row>
    <row customHeight="1" ht="21">
      <c r="A20" s="2055" t="s">
        <v>224</v>
      </c>
      <c r="B20" s="2055" t="s">
        <v>225</v>
      </c>
      <c r="C20" s="2055" t="s">
        <v>226</v>
      </c>
      <c r="D20" s="2055" t="s">
        <v>227</v>
      </c>
      <c r="E20" s="2055"/>
      <c r="F20" s="2057"/>
      <c r="G20" s="2057"/>
      <c r="H20" s="2057"/>
      <c r="I20" s="1982"/>
      <c r="J20" s="1044"/>
      <c r="K20" s="1045"/>
      <c r="L20" s="1985" t="str">
        <f>INDEX(PT_DIFFERENTIATION_NUM_TER,MATCH(B19,PT_DIFFERENTIATION_TER_ID,0))</f>
        <v>1.1</v>
      </c>
      <c r="M20" s="1000" t="s">
        <v>472</v>
      </c>
      <c r="N20" s="992"/>
      <c r="O20" s="3298" t="str">
        <f>INDEX(PT_DIFFERENTIATION_TER,MATCH(B19,PT_DIFFERENTIATION_TER_ID,0))</f>
        <v>Территория 1</v>
      </c>
      <c r="P20" s="3298"/>
      <c r="Q20" s="3298"/>
      <c r="R20" s="3298"/>
      <c r="S20" s="3298"/>
      <c r="T20" s="3298"/>
      <c r="U20" s="3298"/>
      <c r="V20" s="3298"/>
      <c r="W20" s="3298"/>
      <c r="X20" s="1950" t="s">
        <v>473</v>
      </c>
      <c r="Z20" s="1192"/>
      <c r="AA20" s="1192" t="str">
        <f>IF(M20="","",M20)</f>
        <v>Территория действия тарифа</v>
      </c>
      <c r="AB20" s="1192"/>
      <c r="AC20" s="1192"/>
      <c r="AD20" s="1847">
        <v>20</v>
      </c>
    </row>
    <row customHeight="1" ht="24">
      <c r="A21" s="2055" t="s">
        <v>224</v>
      </c>
      <c r="B21" s="2055" t="s">
        <v>225</v>
      </c>
      <c r="C21" s="2055" t="s">
        <v>226</v>
      </c>
      <c r="D21" s="2055" t="s">
        <v>227</v>
      </c>
      <c r="E21" s="2055"/>
      <c r="F21" s="2057"/>
      <c r="G21" s="2057"/>
      <c r="H21" s="2057"/>
      <c r="I21" s="1046"/>
      <c r="J21" s="1044"/>
      <c r="K21" s="1045"/>
      <c r="L21" s="1985" t="str">
        <f>INDEX(PT_DIFFERENTIATION_NUM_CS,MATCH(C19,PT_DIFFERENTIATION_CS_ID,0))</f>
        <v>1.1.1</v>
      </c>
      <c r="M21" s="1001" t="s">
        <v>474</v>
      </c>
      <c r="N21" s="992"/>
      <c r="O21" s="3298" t="str">
        <f>INDEX(PT_DIFFERENTIATION_CS,MATCH(C19,PT_DIFFERENTIATION_CS_ID,0))</f>
        <v>без дифференциации</v>
      </c>
      <c r="P21" s="3298"/>
      <c r="Q21" s="3298"/>
      <c r="R21" s="3298"/>
      <c r="S21" s="3298"/>
      <c r="T21" s="3298"/>
      <c r="U21" s="3298"/>
      <c r="V21" s="3298"/>
      <c r="W21" s="3298"/>
      <c r="X21" s="1950" t="s">
        <v>475</v>
      </c>
      <c r="Z21" s="1192"/>
      <c r="AA21" s="1192" t="str">
        <f>IF(M21="","",M21)</f>
        <v>Наименование системы теплоснабжения </v>
      </c>
      <c r="AB21" s="1192"/>
      <c r="AC21" s="1192"/>
      <c r="AD21" s="1847">
        <v>23</v>
      </c>
    </row>
    <row customHeight="1" ht="21">
      <c r="A22" s="2055" t="s">
        <v>224</v>
      </c>
      <c r="B22" s="2055" t="s">
        <v>225</v>
      </c>
      <c r="C22" s="2055" t="s">
        <v>226</v>
      </c>
      <c r="D22" s="2055" t="s">
        <v>227</v>
      </c>
      <c r="E22" s="2055"/>
      <c r="F22" s="2057"/>
      <c r="G22" s="2057"/>
      <c r="H22" s="2057"/>
      <c r="I22" s="1046"/>
      <c r="J22" s="1044"/>
      <c r="K22" s="1045"/>
      <c r="L22" s="1985" t="str">
        <f>INDEX(PT_DIFFERENTIATION_NUM_IST_TE,MATCH(D19,PT_DIFFERENTIATION_IST_TE_ID,0))</f>
        <v>1.1.1.1</v>
      </c>
      <c r="M22" s="1002" t="s">
        <v>476</v>
      </c>
      <c r="N22" s="992"/>
      <c r="O22" s="3298" t="str">
        <f>INDEX(PT_DIFFERENTIATION_IST_TE,MATCH(D19,PT_DIFFERENTIATION_IST_TE_ID,0))</f>
        <v>без дифференциации</v>
      </c>
      <c r="P22" s="3298"/>
      <c r="Q22" s="3298"/>
      <c r="R22" s="3298"/>
      <c r="S22" s="3298"/>
      <c r="T22" s="3298"/>
      <c r="U22" s="3298"/>
      <c r="V22" s="3298"/>
      <c r="W22" s="3298"/>
      <c r="X22" s="1950" t="s">
        <v>477</v>
      </c>
      <c r="Z22" s="1192"/>
      <c r="AA22" s="1192" t="str">
        <f>IF(M22="","",M22)</f>
        <v>Источник тепловой энергии  </v>
      </c>
      <c r="AB22" s="1192"/>
      <c r="AC22" s="1192"/>
      <c r="AD22" s="1847">
        <v>20</v>
      </c>
    </row>
    <row customHeight="1" ht="96.75">
      <c r="A23" s="2055" t="s">
        <v>224</v>
      </c>
      <c r="B23" s="2055" t="s">
        <v>225</v>
      </c>
      <c r="C23" s="2055" t="s">
        <v>226</v>
      </c>
      <c r="D23" s="2055" t="s">
        <v>227</v>
      </c>
      <c r="E23" s="2055"/>
      <c r="F23" s="3299" t="str">
        <f>L22&amp;".1"</f>
        <v>1.1.1.1.1</v>
      </c>
      <c r="I23" s="2949">
        <v>1</v>
      </c>
      <c r="J23" s="1983"/>
      <c r="K23" s="1048"/>
      <c r="L23" s="1985" t="str">
        <f>$F$23</f>
        <v>1.1.1.1.1</v>
      </c>
      <c r="M23" s="977" t="s">
        <v>479</v>
      </c>
      <c r="N23" s="992"/>
      <c r="O23" s="2997"/>
      <c r="P23" s="2997"/>
      <c r="Q23" s="2997"/>
      <c r="R23" s="2997"/>
      <c r="S23" s="2997"/>
      <c r="T23" s="2997"/>
      <c r="U23" s="2997"/>
      <c r="V23" s="2997"/>
      <c r="W23" s="2997"/>
      <c r="X23" s="1950" t="s">
        <v>480</v>
      </c>
      <c r="Z23" s="1192"/>
      <c r="AA23" s="1192" t="str">
        <f>IF(M23="","",M23)</f>
        <v>Схема подключения теплопотребляющей установки к коллектору источника тепловой энергии</v>
      </c>
      <c r="AB23" s="1192"/>
      <c r="AC23" s="1192"/>
      <c r="AD23" s="1847">
        <v>92</v>
      </c>
    </row>
    <row customHeight="1" ht="86.25">
      <c r="A24" s="2055" t="s">
        <v>224</v>
      </c>
      <c r="B24" s="2055" t="s">
        <v>225</v>
      </c>
      <c r="C24" s="2055" t="s">
        <v>226</v>
      </c>
      <c r="D24" s="2055" t="s">
        <v>227</v>
      </c>
      <c r="E24" s="2055"/>
      <c r="F24" s="3299"/>
      <c r="G24" s="2909" t="str">
        <f>F23&amp;".1"</f>
        <v>1.1.1.1.1.1</v>
      </c>
      <c r="I24" s="2949"/>
      <c r="J24" s="2949">
        <v>1</v>
      </c>
      <c r="K24" s="1049"/>
      <c r="L24" s="1985" t="str">
        <f>$G$24</f>
        <v>1.1.1.1.1.1</v>
      </c>
      <c r="M24" s="978" t="s">
        <v>482</v>
      </c>
      <c r="N24" s="992"/>
      <c r="O24" s="2937"/>
      <c r="P24" s="2938"/>
      <c r="Q24" s="2938"/>
      <c r="R24" s="2938"/>
      <c r="S24" s="2938"/>
      <c r="T24" s="2938"/>
      <c r="U24" s="2938"/>
      <c r="V24" s="2938"/>
      <c r="W24" s="2939"/>
      <c r="X24" s="1950" t="s">
        <v>483</v>
      </c>
      <c r="Z24" s="1192"/>
      <c r="AA24" s="1192" t="str">
        <f>IF(M24="","",M24)</f>
        <v>Группа потребителей</v>
      </c>
      <c r="AB24" s="1192"/>
      <c r="AC24" s="1192"/>
      <c r="AD24" s="1847">
        <v>82</v>
      </c>
    </row>
    <row customHeight="1" ht="11.549999999999999">
      <c r="A25" s="2055" t="s">
        <v>224</v>
      </c>
      <c r="B25" s="2055" t="s">
        <v>225</v>
      </c>
      <c r="C25" s="2055" t="s">
        <v>226</v>
      </c>
      <c r="D25" s="2055" t="s">
        <v>227</v>
      </c>
      <c r="E25" s="2055"/>
      <c r="F25" s="3299"/>
      <c r="G25" s="2909"/>
      <c r="H25" s="2909" t="str">
        <f>G24&amp;".1"</f>
        <v>1.1.1.1.1.1.1</v>
      </c>
      <c r="I25" s="2949"/>
      <c r="J25" s="2949"/>
      <c r="K25" s="1049">
        <v>1</v>
      </c>
      <c r="L25" s="1985" t="str">
        <f>$H$25</f>
        <v>1.1.1.1.1.1.1</v>
      </c>
      <c r="M25" s="2039"/>
      <c r="N25" s="992"/>
      <c r="O25" s="1443"/>
      <c r="P25" s="1017"/>
      <c r="Q25" s="1443"/>
      <c r="R25" s="1949"/>
      <c r="S25" s="3294"/>
      <c r="T25" s="2799" t="s">
        <v>67</v>
      </c>
      <c r="U25" s="3294"/>
      <c r="V25" s="2799" t="s">
        <v>19</v>
      </c>
      <c r="W25" s="1017"/>
      <c r="X25" s="2945" t="s">
        <v>485</v>
      </c>
      <c r="Y25" s="1203">
        <f>STRCHECKDATE(O26:W26)</f>
      </c>
      <c r="Z25" s="1192"/>
      <c r="AA25" s="1192" t="str">
        <f>IF(M25="","",M25)</f>
        <v/>
      </c>
      <c r="AB25" s="1192"/>
      <c r="AC25" s="1192"/>
      <c r="AD25" s="1847">
        <v>11</v>
      </c>
    </row>
    <row customHeight="1" ht="11.549999999999999">
      <c r="A26" s="2055" t="s">
        <v>224</v>
      </c>
      <c r="B26" s="2055" t="s">
        <v>225</v>
      </c>
      <c r="C26" s="2055" t="s">
        <v>226</v>
      </c>
      <c r="D26" s="2055" t="s">
        <v>227</v>
      </c>
      <c r="E26" s="2055"/>
      <c r="F26" s="3299"/>
      <c r="G26" s="2909"/>
      <c r="H26" s="2909"/>
      <c r="I26" s="2949"/>
      <c r="J26" s="2949"/>
      <c r="K26" s="1049"/>
      <c r="L26" s="1986"/>
      <c r="M26" s="992"/>
      <c r="N26" s="992"/>
      <c r="O26" s="1017"/>
      <c r="P26" s="1017"/>
      <c r="Q26" s="1017"/>
      <c r="R26" s="1020" t="str">
        <f>S25&amp;"-"&amp;U25</f>
        <v>-</v>
      </c>
      <c r="S26" s="2958"/>
      <c r="T26" s="2799"/>
      <c r="U26" s="2958"/>
      <c r="V26" s="2799"/>
      <c r="W26" s="1017"/>
      <c r="X26" s="2946"/>
      <c r="Z26" s="1192"/>
      <c r="AA26" s="1192" t="str">
        <f>IF(M26="","",M26)</f>
        <v/>
      </c>
      <c r="AB26" s="1192"/>
      <c r="AC26" s="1192"/>
      <c r="AD26" s="1847">
        <v>11</v>
      </c>
    </row>
    <row customHeight="1" ht="15.75">
      <c r="A27" s="2055" t="s">
        <v>224</v>
      </c>
      <c r="B27" s="2055" t="s">
        <v>225</v>
      </c>
      <c r="C27" s="2055" t="s">
        <v>226</v>
      </c>
      <c r="D27" s="2055" t="s">
        <v>227</v>
      </c>
      <c r="E27" s="2055"/>
      <c r="F27" s="3299"/>
      <c r="G27" s="2909"/>
      <c r="I27" s="2949"/>
      <c r="J27" s="2949"/>
      <c r="K27" s="1048"/>
      <c r="L27" s="1970"/>
      <c r="M27" s="980" t="s">
        <v>486</v>
      </c>
      <c r="N27" s="1059"/>
      <c r="O27" s="1059"/>
      <c r="P27" s="1059"/>
      <c r="Q27" s="1059"/>
      <c r="R27" s="1059"/>
      <c r="S27" s="1059"/>
      <c r="T27" s="1059"/>
      <c r="U27" s="1059"/>
      <c r="V27" s="1059"/>
      <c r="W27" s="1016"/>
      <c r="X27" s="2947"/>
      <c r="Z27" s="1192"/>
      <c r="AA27" s="1192" t="str">
        <f>IF(M27="","",M27)</f>
        <v>Добавить вид теплоносителя (параметры теплоносителя)</v>
      </c>
      <c r="AB27" s="1192"/>
      <c r="AC27" s="1192"/>
      <c r="AD27" s="1847">
        <v>15</v>
      </c>
    </row>
    <row customHeight="1" ht="15.75">
      <c r="A28" s="2055" t="s">
        <v>224</v>
      </c>
      <c r="B28" s="2055" t="s">
        <v>225</v>
      </c>
      <c r="C28" s="2055" t="s">
        <v>226</v>
      </c>
      <c r="D28" s="2055" t="s">
        <v>227</v>
      </c>
      <c r="E28" s="2055"/>
      <c r="F28" s="3299"/>
      <c r="I28" s="2949"/>
      <c r="J28" s="1983"/>
      <c r="K28" s="1048"/>
      <c r="L28" s="1970"/>
      <c r="M28" s="979" t="s">
        <v>487</v>
      </c>
      <c r="N28" s="1059"/>
      <c r="O28" s="1059"/>
      <c r="P28" s="1059"/>
      <c r="Q28" s="1059"/>
      <c r="R28" s="1059"/>
      <c r="S28" s="1059"/>
      <c r="T28" s="1059"/>
      <c r="U28" s="1059"/>
      <c r="V28" s="1058"/>
      <c r="W28" s="1059"/>
      <c r="X28" s="995"/>
      <c r="Z28" s="1192"/>
      <c r="AA28" s="1192" t="str">
        <f>IF(M28="","",M28)</f>
        <v>Добавить группу потребителей</v>
      </c>
      <c r="AB28" s="1192"/>
      <c r="AC28" s="1192"/>
      <c r="AD28" s="1847">
        <v>15</v>
      </c>
    </row>
    <row customHeight="1" ht="14.699999999999998">
      <c r="A29" s="2055" t="s">
        <v>224</v>
      </c>
      <c r="B29" s="2055" t="s">
        <v>225</v>
      </c>
      <c r="C29" s="2055" t="s">
        <v>226</v>
      </c>
      <c r="D29" s="2055" t="s">
        <v>227</v>
      </c>
      <c r="E29" s="2055"/>
      <c r="F29" s="2057"/>
      <c r="G29" s="2057"/>
      <c r="H29" s="1229"/>
      <c r="I29" s="1052"/>
      <c r="J29" s="1067"/>
      <c r="K29" s="1047"/>
      <c r="L29" s="1970"/>
      <c r="M29" s="1057" t="s">
        <v>488</v>
      </c>
      <c r="N29" s="1059"/>
      <c r="O29" s="1059"/>
      <c r="P29" s="1059"/>
      <c r="Q29" s="1059"/>
      <c r="R29" s="1059"/>
      <c r="S29" s="1059"/>
      <c r="T29" s="1059"/>
      <c r="U29" s="1059"/>
      <c r="V29" s="1058"/>
      <c r="W29" s="1059"/>
      <c r="X29" s="995"/>
      <c r="Z29" s="1192"/>
      <c r="AA29" s="1192" t="str">
        <f>IF(M29="","",M29)</f>
        <v>Добавить схему подключения</v>
      </c>
      <c r="AB29" s="1192"/>
      <c r="AC29" s="1192"/>
      <c r="AD29" s="1847">
        <v>14</v>
      </c>
    </row>
    <row customHeight="1" ht="14.699999999999998">
      <c r="A30" s="2055" t="s">
        <v>224</v>
      </c>
      <c r="B30" s="2055" t="s">
        <v>225</v>
      </c>
      <c r="C30" s="2055" t="s">
        <v>226</v>
      </c>
      <c r="D30" s="2055"/>
      <c r="E30" s="2055" t="s">
        <v>660</v>
      </c>
      <c r="F30" s="2057"/>
      <c r="G30" s="2057"/>
      <c r="H30" s="1229"/>
      <c r="I30" s="1052"/>
      <c r="J30" s="1067"/>
      <c r="K30" s="1047"/>
      <c r="L30" s="1971"/>
      <c r="M30" s="1960"/>
      <c r="N30" s="1961"/>
      <c r="O30" s="1961"/>
      <c r="P30" s="1961"/>
      <c r="Q30" s="1961"/>
      <c r="R30" s="1961"/>
      <c r="S30" s="1961"/>
      <c r="T30" s="1961"/>
      <c r="U30" s="1961"/>
      <c r="V30" s="1962"/>
      <c r="W30" s="1961"/>
      <c r="X30" s="1963"/>
      <c r="Z30" s="1192"/>
      <c r="AA30" s="1192" t="str">
        <f>IF(M30="","",M30)</f>
        <v/>
      </c>
      <c r="AB30" s="1192"/>
      <c r="AC30" s="1192"/>
      <c r="AD30" s="1847">
        <v>14</v>
      </c>
    </row>
    <row customHeight="1" ht="14.699999999999998">
      <c r="A31" s="2055" t="s">
        <v>224</v>
      </c>
      <c r="B31" s="2055" t="s">
        <v>225</v>
      </c>
      <c r="C31" s="2055"/>
      <c r="D31" s="2055"/>
      <c r="E31" s="2055" t="s">
        <v>2305</v>
      </c>
      <c r="F31" s="2209"/>
      <c r="G31" s="2209"/>
      <c r="H31" s="1229"/>
      <c r="I31" s="1050"/>
      <c r="J31" s="1067"/>
      <c r="K31" s="1051"/>
      <c r="L31" s="1971"/>
      <c r="M31" s="1964"/>
      <c r="N31" s="1961"/>
      <c r="O31" s="1961"/>
      <c r="P31" s="1961"/>
      <c r="Q31" s="1961"/>
      <c r="R31" s="1961"/>
      <c r="S31" s="1961"/>
      <c r="T31" s="1961"/>
      <c r="U31" s="1961"/>
      <c r="V31" s="1962"/>
      <c r="W31" s="1961"/>
      <c r="X31" s="1963"/>
      <c r="Z31" s="1192"/>
      <c r="AA31" s="1192" t="str">
        <f>IF(M31="","",M31)</f>
        <v/>
      </c>
      <c r="AB31" s="1192"/>
      <c r="AC31" s="1192"/>
      <c r="AD31" s="1847">
        <v>14</v>
      </c>
    </row>
    <row customHeight="1" ht="14.699999999999998">
      <c r="A32" s="2055" t="s">
        <v>2306</v>
      </c>
      <c r="B32" s="2055"/>
      <c r="C32" s="2055"/>
      <c r="D32" s="2055"/>
      <c r="E32" s="2055" t="s">
        <v>113</v>
      </c>
      <c r="F32" s="2209"/>
      <c r="G32" s="2209"/>
      <c r="H32" s="1229"/>
      <c r="I32" s="1052"/>
      <c r="J32" s="1067"/>
      <c r="K32" s="1047"/>
      <c r="L32" s="1971"/>
      <c r="M32" s="1965"/>
      <c r="N32" s="1961"/>
      <c r="O32" s="1961"/>
      <c r="P32" s="1961"/>
      <c r="Q32" s="1961"/>
      <c r="R32" s="1961"/>
      <c r="S32" s="1961"/>
      <c r="T32" s="1961"/>
      <c r="U32" s="1961"/>
      <c r="V32" s="1962"/>
      <c r="W32" s="1961"/>
      <c r="X32" s="1963"/>
      <c r="Z32" s="1192"/>
      <c r="AA32" s="1192" t="str">
        <f>IF(M32="","",M32)</f>
        <v/>
      </c>
      <c r="AB32" s="1192"/>
      <c r="AC32" s="1192"/>
      <c r="AD32" s="1847">
        <v>14</v>
      </c>
    </row>
    <row s="63225" customFormat="1" customHeight="1" ht="11.549999999999999">
      <c r="A33" s="2055"/>
      <c r="B33" s="2055"/>
      <c r="C33" s="2055"/>
      <c r="D33" s="2055"/>
      <c r="E33" s="2055" t="s">
        <v>186</v>
      </c>
      <c r="F33" s="2210"/>
      <c r="G33" s="2211"/>
      <c r="H33" s="1229"/>
      <c r="L33" s="1972"/>
      <c r="M33" s="1966"/>
      <c r="N33" s="1961"/>
      <c r="O33" s="1961"/>
      <c r="P33" s="1961"/>
      <c r="Q33" s="1961"/>
      <c r="R33" s="1961"/>
      <c r="S33" s="1961"/>
      <c r="T33" s="1961"/>
      <c r="U33" s="1961"/>
      <c r="V33" s="1962"/>
      <c r="W33" s="1961"/>
      <c r="X33" s="1963"/>
      <c r="Y33" s="1071"/>
      <c r="Z33" s="1071"/>
      <c r="AA33" s="1071"/>
      <c r="AB33" s="1071"/>
      <c r="AC33" s="1071"/>
      <c r="AD33" s="1065">
        <v>11</v>
      </c>
    </row>
    <row customHeight="1" ht="11.549999999999999">
      <c r="F34" s="1852"/>
      <c r="G34" s="1852"/>
      <c r="H34" s="1229"/>
      <c r="I34" s="1847"/>
      <c r="J34" s="1847"/>
      <c r="K34" s="1847"/>
      <c r="Y34" s="1847"/>
      <c r="Z34" s="1847"/>
      <c r="AA34" s="1847"/>
      <c r="AB34" s="1847"/>
      <c r="AC34" s="1847"/>
      <c r="AD34" s="1847">
        <v>11</v>
      </c>
    </row>
    <row customHeight="1" ht="28.5">
      <c r="H35" s="1229"/>
      <c r="L35" s="1980" t="s">
        <v>877</v>
      </c>
      <c r="M35" s="2977" t="s">
        <v>2307</v>
      </c>
      <c r="N35" s="2977"/>
      <c r="O35" s="2977"/>
      <c r="P35" s="2977"/>
      <c r="Q35" s="2977"/>
      <c r="R35" s="2977"/>
      <c r="S35" s="2977"/>
      <c r="T35" s="2977"/>
      <c r="U35" s="2977"/>
      <c r="V35" s="2977"/>
      <c r="W35" s="2977"/>
      <c r="X35" s="2977"/>
      <c r="AD35" s="1847">
        <v>27</v>
      </c>
    </row>
    <row customHeight="1" ht="109.19999999999999">
      <c r="H36" s="1229"/>
      <c r="I36" s="1995"/>
      <c r="M36" s="2977" t="s">
        <v>2308</v>
      </c>
      <c r="N36" s="2977"/>
      <c r="O36" s="2977"/>
      <c r="P36" s="2977"/>
      <c r="Q36" s="2977"/>
      <c r="R36" s="2977"/>
      <c r="S36" s="2977"/>
      <c r="T36" s="2977"/>
      <c r="U36" s="2977"/>
      <c r="V36" s="2977"/>
      <c r="W36" s="2977"/>
      <c r="X36" s="2977"/>
      <c r="AD36" s="1847">
        <v>104</v>
      </c>
    </row>
    <row customHeight="1" ht="14.699999999999998">
      <c r="H37" s="1229"/>
      <c r="AD37" s="1847">
        <v>14</v>
      </c>
    </row>
    <row customHeight="1" ht="14.699999999999998">
      <c r="H38" s="1229"/>
      <c r="AD38" s="1847">
        <v>14</v>
      </c>
    </row>
    <row customHeight="1" ht="14.699999999999998">
      <c r="H39" s="1229"/>
      <c r="AD39" s="1847">
        <v>14</v>
      </c>
    </row>
    <row customHeight="1" ht="14.699999999999998">
      <c r="H40" s="1229"/>
      <c r="AD40" s="1847">
        <v>14</v>
      </c>
    </row>
    <row customHeight="1" ht="22.5" hidden="1">
      <c r="A41" s="1852" t="s">
        <v>83</v>
      </c>
      <c r="B41" s="1852">
        <v>0</v>
      </c>
      <c r="C41" s="1852">
        <v>0</v>
      </c>
      <c r="D41" s="1852">
        <v>0</v>
      </c>
      <c r="E41" s="1852">
        <v>0</v>
      </c>
      <c r="F41" s="2054">
        <v>0</v>
      </c>
      <c r="G41" s="2054">
        <v>0</v>
      </c>
      <c r="H41" s="2054">
        <v>0</v>
      </c>
      <c r="I41" s="1978">
        <v>3</v>
      </c>
      <c r="J41" s="1036">
        <v>3</v>
      </c>
      <c r="K41" s="1036">
        <v>3</v>
      </c>
      <c r="L41" s="1273">
        <v>12</v>
      </c>
      <c r="M41" s="1847">
        <v>31</v>
      </c>
      <c r="N41" s="1847">
        <v>1</v>
      </c>
      <c r="O41" s="1847">
        <v>24</v>
      </c>
      <c r="P41" s="1847">
        <v>24</v>
      </c>
      <c r="Q41" s="1847">
        <v>24</v>
      </c>
      <c r="R41" s="1847">
        <v>24</v>
      </c>
      <c r="S41" s="1847">
        <v>11</v>
      </c>
      <c r="T41" s="1847">
        <v>3</v>
      </c>
      <c r="U41" s="1847">
        <v>11</v>
      </c>
      <c r="V41" s="1847">
        <v>8</v>
      </c>
      <c r="W41" s="1847">
        <v>4</v>
      </c>
      <c r="X41" s="1847">
        <v>115</v>
      </c>
      <c r="Y41" s="1203">
        <v>10</v>
      </c>
      <c r="Z41" s="1203">
        <v>10</v>
      </c>
      <c r="AA41" s="1203">
        <v>10</v>
      </c>
      <c r="AB41" s="1203">
        <v>10</v>
      </c>
      <c r="AC41" s="1203">
        <v>10</v>
      </c>
      <c r="AD41" s="1847">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4D797B-1D62-1A7F-C6DA-7EC3EC8F145F}"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1096EE-4A89-66C5-E476-B287577BBA84}"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4A5449-C858-6193-548B-4F9EB30BE38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3F469C-2C13-BC87-3C3A-09CF45047CC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1B4993-BE64-AAFF-253B-C8F14D21B0D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62CD6F-175B-816A-965E-73D0FE98FDD9}"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62782" width="15.00390625" hidden="1" customWidth="1"/>
    <col min="2" max="2" style="58161" width="15.00390625" hidden="1" customWidth="1"/>
    <col min="3" max="3" style="58205" width="3.00390625" customWidth="1"/>
    <col min="4" max="4" style="58206" width="6.00390625" customWidth="1"/>
    <col min="5" max="5" style="58205" width="52.00390625" customWidth="1"/>
    <col min="6" max="6" style="58205" width="48.00390625" customWidth="1"/>
    <col min="7" max="7" style="58205" width="121.00390625" customWidth="1"/>
    <col min="8" max="8" style="58205" width="8.00390625" customWidth="1"/>
    <col min="9" max="9" style="58205" width="64.00390625" customWidth="1"/>
    <col min="10" max="10" style="58205" width="9.140625" hidden="1"/>
  </cols>
  <sheetData>
    <row customHeight="1" ht="11.25" hidden="1">
      <c r="A1" s="2378" t="s">
        <v>374</v>
      </c>
      <c r="J1" s="1147" t="s">
        <v>14</v>
      </c>
    </row>
    <row customHeight="1" ht="11.25" hidden="1">
      <c r="J2" s="1147">
        <v>0</v>
      </c>
    </row>
    <row s="58122" customFormat="1" customHeight="1" ht="11.549999999999999">
      <c r="A3" s="2378"/>
      <c r="B3" s="1193"/>
      <c r="D3" s="1170"/>
      <c r="J3" s="1169">
        <v>11</v>
      </c>
    </row>
    <row customHeight="1" ht="27.299999999999997">
      <c r="D4" s="284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850"/>
      <c r="F4" s="2851"/>
      <c r="I4" s="1407"/>
      <c r="J4" s="1147">
        <v>26</v>
      </c>
    </row>
    <row customHeight="1" ht="18">
      <c r="D5" s="2868" t="str">
        <f>IF(org=0,"Не определено",org)</f>
        <v>АО "ДГК"</v>
      </c>
      <c r="E5" s="2868"/>
      <c r="F5" s="2868"/>
      <c r="I5" s="1407"/>
      <c r="J5" s="1147">
        <v>17</v>
      </c>
    </row>
    <row s="58122" customFormat="1" customHeight="1" ht="11.549999999999999">
      <c r="A6" s="2378"/>
      <c r="B6" s="1193"/>
      <c r="D6" s="1406"/>
      <c r="E6" s="1406"/>
      <c r="F6" s="1444"/>
      <c r="G6" s="1406"/>
      <c r="J6" s="1169">
        <v>11</v>
      </c>
    </row>
    <row customHeight="1" ht="11.25" hidden="1">
      <c r="A7" s="1149"/>
      <c r="B7" s="1194"/>
      <c r="C7" s="1149"/>
      <c r="D7" s="1155"/>
      <c r="E7" s="2899"/>
      <c r="F7" s="2899"/>
      <c r="J7" s="1147">
        <v>0</v>
      </c>
    </row>
    <row customHeight="1" ht="11.549999999999999">
      <c r="A8" s="1149"/>
      <c r="B8" s="1194"/>
      <c r="C8" s="1149"/>
      <c r="D8" s="2896" t="s">
        <v>375</v>
      </c>
      <c r="E8" s="2897"/>
      <c r="F8" s="2897"/>
      <c r="G8" s="2900" t="s">
        <v>376</v>
      </c>
      <c r="J8" s="1147">
        <v>11</v>
      </c>
    </row>
    <row customHeight="1" ht="11.549999999999999">
      <c r="A9" s="1149"/>
      <c r="B9" s="1194"/>
      <c r="C9" s="1149"/>
      <c r="D9" s="1164" t="s">
        <v>89</v>
      </c>
      <c r="E9" s="1138" t="s">
        <v>377</v>
      </c>
      <c r="F9" s="1138" t="s">
        <v>378</v>
      </c>
      <c r="G9" s="2901"/>
      <c r="J9" s="1147">
        <v>11</v>
      </c>
    </row>
    <row customHeight="1" ht="12" hidden="1">
      <c r="A10" s="1149"/>
      <c r="B10" s="1194"/>
      <c r="C10" s="1149"/>
      <c r="D10" s="1156"/>
      <c r="E10" s="1156"/>
      <c r="F10" s="1156"/>
      <c r="G10" s="1156"/>
      <c r="J10" s="1147">
        <v>0</v>
      </c>
    </row>
    <row customHeight="1" ht="22.5" hidden="1">
      <c r="A11" s="1149"/>
      <c r="B11" s="1194"/>
      <c r="C11" s="1149"/>
      <c r="D11" s="1701" t="s">
        <v>118</v>
      </c>
      <c r="E11" s="1704" t="s">
        <v>379</v>
      </c>
      <c r="F11" s="1703" t="str">
        <f>IF(region_name="","",region_name)</f>
        <v>Приморский край</v>
      </c>
      <c r="G11" s="1704" t="s">
        <v>380</v>
      </c>
      <c r="H11" s="1167"/>
      <c r="J11" s="1147">
        <v>0</v>
      </c>
    </row>
    <row customHeight="1" ht="22.5" hidden="1">
      <c r="A12" s="1149"/>
      <c r="B12" s="1194"/>
      <c r="C12" s="1149"/>
      <c r="D12" s="1137" t="s">
        <v>118</v>
      </c>
      <c r="E12" s="113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1135" t="s">
        <v>381</v>
      </c>
      <c r="G12" s="1166"/>
      <c r="H12" s="1167"/>
      <c r="J12" s="1147">
        <v>0</v>
      </c>
    </row>
    <row customHeight="1" ht="23.25">
      <c r="A13" s="1149"/>
      <c r="B13" s="1194"/>
      <c r="C13" s="1149"/>
      <c r="D13" s="1137" t="s">
        <v>118</v>
      </c>
      <c r="E13" s="1134" t="str">
        <f>"Наименование юридического лица"&amp;IF(TEMPLATE_SPHERE="TKO"," (индивидуального предпринимателя)","")</f>
        <v>Наименование юридического лица</v>
      </c>
      <c r="F13" s="1133"/>
      <c r="G13" s="113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1167"/>
      <c r="J13" s="1147">
        <v>22</v>
      </c>
    </row>
    <row customHeight="1" ht="22.5" hidden="1">
      <c r="A14" s="1149"/>
      <c r="B14" s="1194"/>
      <c r="C14" s="1149"/>
      <c r="D14" s="1701" t="s">
        <v>382</v>
      </c>
      <c r="E14" s="1702" t="s">
        <v>383</v>
      </c>
      <c r="F14" s="1703" t="str">
        <f>IF(inn="","",inn)</f>
        <v>1434031363</v>
      </c>
      <c r="G14" s="1704" t="s">
        <v>384</v>
      </c>
      <c r="H14" s="1167"/>
      <c r="J14" s="1147">
        <v>0</v>
      </c>
    </row>
    <row customHeight="1" ht="22.5" hidden="1">
      <c r="A15" s="1149"/>
      <c r="B15" s="1194"/>
      <c r="C15" s="1149"/>
      <c r="D15" s="1701" t="s">
        <v>385</v>
      </c>
      <c r="E15" s="1702" t="s">
        <v>386</v>
      </c>
      <c r="F15" s="1703" t="str">
        <f>IF(kpp="","",kpp)</f>
        <v>253645001</v>
      </c>
      <c r="G15" s="1704" t="s">
        <v>387</v>
      </c>
      <c r="H15" s="1167"/>
      <c r="J15" s="1147">
        <v>0</v>
      </c>
    </row>
    <row customHeight="1" ht="39">
      <c r="A16" s="1149"/>
      <c r="B16" s="1194"/>
      <c r="C16" s="1149"/>
      <c r="D16" s="1137" t="s">
        <v>103</v>
      </c>
      <c r="E16" s="113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133"/>
      <c r="G16" s="113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167"/>
      <c r="J16" s="1147">
        <v>37</v>
      </c>
    </row>
    <row customHeight="1" ht="23.25">
      <c r="A17" s="1149"/>
      <c r="B17" s="1194"/>
      <c r="C17" s="1149"/>
      <c r="D17" s="1137" t="s">
        <v>91</v>
      </c>
      <c r="E17" s="1134" t="str">
        <f>"Дата присвоения ОГРН"&amp;IF(TEMPLATE_SPHERE="TKO",""," (ОГРНИП)")</f>
        <v>Дата присвоения ОГРН (ОГРНИП)</v>
      </c>
      <c r="F17" s="2424" t="s">
        <v>28</v>
      </c>
      <c r="G17" s="1136" t="str">
        <f>"Дата присвоения ОГРН"&amp;IF(TEMPLATE_SPHERE="TKO",""," (ОГРНИП)")&amp;" указывается в виде «ДД.ММ.ГГГГ»."</f>
        <v>Дата присвоения ОГРН (ОГРНИП) указывается в виде «ДД.ММ.ГГГГ».</v>
      </c>
      <c r="H17" s="1167"/>
      <c r="J17" s="1147">
        <v>22</v>
      </c>
    </row>
    <row customHeight="1" ht="71.25">
      <c r="A18" s="1149"/>
      <c r="B18" s="1194"/>
      <c r="C18" s="1149"/>
      <c r="D18" s="1137" t="s">
        <v>92</v>
      </c>
      <c r="E18" s="113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133"/>
      <c r="G18" s="1166"/>
      <c r="H18" s="1167"/>
      <c r="J18" s="1147">
        <v>68</v>
      </c>
    </row>
    <row customHeight="1" ht="22.5" hidden="1">
      <c r="A19" s="2894" t="s">
        <v>388</v>
      </c>
      <c r="B19" s="1194"/>
      <c r="C19" s="2905"/>
      <c r="D19" s="1137" t="str">
        <f>A19</f>
        <v>5.1</v>
      </c>
      <c r="E19" s="1134" t="s">
        <v>389</v>
      </c>
      <c r="F19" s="1135" t="s">
        <v>381</v>
      </c>
      <c r="G19" s="1136" t="s">
        <v>390</v>
      </c>
      <c r="H19" s="1167"/>
      <c r="I19" s="1544"/>
      <c r="J19" s="1147">
        <v>0</v>
      </c>
    </row>
    <row customHeight="1" ht="24" hidden="1">
      <c r="A20" s="2894"/>
      <c r="B20" s="1194"/>
      <c r="C20" s="2905"/>
      <c r="D20" s="1132" t="str">
        <f>D19&amp;".1"</f>
        <v>5.1.1</v>
      </c>
      <c r="E20" s="1131" t="s">
        <v>391</v>
      </c>
      <c r="F20" s="1573" t="s">
        <v>28</v>
      </c>
      <c r="G20" s="1166"/>
      <c r="H20" s="1167"/>
      <c r="I20" s="1544"/>
      <c r="J20" s="1147">
        <v>0</v>
      </c>
    </row>
    <row customHeight="1" ht="22.5" hidden="1">
      <c r="A21" s="2894"/>
      <c r="B21" s="1194"/>
      <c r="C21" s="2905"/>
      <c r="D21" s="1132" t="str">
        <f>D19&amp;".2"</f>
        <v>5.1.2</v>
      </c>
      <c r="E21" s="1131" t="s">
        <v>392</v>
      </c>
      <c r="F21" s="2425" t="s">
        <v>28</v>
      </c>
      <c r="G21" s="1136" t="s">
        <v>393</v>
      </c>
      <c r="H21" s="1167"/>
      <c r="I21" s="1544"/>
      <c r="J21" s="1147">
        <v>0</v>
      </c>
    </row>
    <row customHeight="1" ht="22.5" hidden="1">
      <c r="A22" s="2894"/>
      <c r="B22" s="1194"/>
      <c r="C22" s="2905"/>
      <c r="D22" s="1132" t="str">
        <f>D19&amp;".3"</f>
        <v>5.1.3</v>
      </c>
      <c r="E22" s="1131" t="s">
        <v>394</v>
      </c>
      <c r="F22" s="1573" t="s">
        <v>28</v>
      </c>
      <c r="G22" s="1166"/>
      <c r="H22" s="1167"/>
      <c r="I22" s="1544"/>
      <c r="J22" s="1147">
        <v>0</v>
      </c>
    </row>
    <row customHeight="1" ht="22.5" hidden="1">
      <c r="A23" s="2894"/>
      <c r="B23" s="1194"/>
      <c r="C23" s="2905"/>
      <c r="D23" s="1132" t="str">
        <f>D19&amp;".4"</f>
        <v>5.1.4</v>
      </c>
      <c r="E23" s="1131" t="s">
        <v>395</v>
      </c>
      <c r="F23" s="1573" t="s">
        <v>28</v>
      </c>
      <c r="G23" s="1136" t="s">
        <v>396</v>
      </c>
      <c r="H23" s="1167"/>
      <c r="I23" s="1544"/>
      <c r="J23" s="1147">
        <v>0</v>
      </c>
    </row>
    <row customHeight="1" ht="22.5" hidden="1">
      <c r="A24" s="2670"/>
      <c r="B24" s="1194"/>
      <c r="C24" s="1184"/>
      <c r="D24" s="1159"/>
      <c r="E24" s="1860" t="s">
        <v>397</v>
      </c>
      <c r="F24" s="1160"/>
      <c r="G24" s="1161"/>
      <c r="H24" s="1167"/>
      <c r="I24" s="1544"/>
      <c r="J24" s="1147">
        <v>0</v>
      </c>
    </row>
    <row s="58161" customFormat="1" customHeight="1" ht="24.75" hidden="1">
      <c r="A25" s="1149"/>
      <c r="B25" s="1194"/>
      <c r="C25" s="1194"/>
      <c r="D25" s="1698" t="s">
        <v>91</v>
      </c>
      <c r="E25" s="1700" t="s">
        <v>398</v>
      </c>
      <c r="F25" s="1705" t="s">
        <v>381</v>
      </c>
      <c r="G25" s="1700"/>
      <c r="J25" s="1193">
        <v>0</v>
      </c>
    </row>
    <row s="58161" customFormat="1" customHeight="1" ht="11.25" hidden="1">
      <c r="A26" s="1149"/>
      <c r="B26" s="1194"/>
      <c r="C26" s="1194"/>
      <c r="D26" s="1698" t="s">
        <v>399</v>
      </c>
      <c r="E26" s="1699" t="s">
        <v>400</v>
      </c>
      <c r="F26" s="1705" t="s">
        <v>381</v>
      </c>
      <c r="G26" s="1700"/>
      <c r="J26" s="1193">
        <v>0</v>
      </c>
    </row>
    <row s="58161" customFormat="1" customHeight="1" ht="11.25" hidden="1">
      <c r="A27" s="1149"/>
      <c r="B27" s="1194"/>
      <c r="C27" s="1194"/>
      <c r="D27" s="1698" t="s">
        <v>401</v>
      </c>
      <c r="E27" s="1706" t="s">
        <v>402</v>
      </c>
      <c r="F27" s="1707"/>
      <c r="G27" s="170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1193">
        <v>0</v>
      </c>
    </row>
    <row s="58161" customFormat="1" customHeight="1" ht="11.25" hidden="1">
      <c r="A28" s="1149"/>
      <c r="B28" s="1194"/>
      <c r="C28" s="1194"/>
      <c r="D28" s="1698" t="s">
        <v>403</v>
      </c>
      <c r="E28" s="1706" t="s">
        <v>404</v>
      </c>
      <c r="F28" s="1707"/>
      <c r="G28" s="170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1193">
        <v>0</v>
      </c>
    </row>
    <row s="58161" customFormat="1" customHeight="1" ht="11.25" hidden="1">
      <c r="A29" s="1149"/>
      <c r="B29" s="1194"/>
      <c r="C29" s="1194"/>
      <c r="D29" s="1698" t="s">
        <v>405</v>
      </c>
      <c r="E29" s="1706" t="s">
        <v>406</v>
      </c>
      <c r="F29" s="1707"/>
      <c r="G29" s="170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1193">
        <v>0</v>
      </c>
    </row>
    <row s="58161" customFormat="1" customHeight="1" ht="11.25" hidden="1">
      <c r="A30" s="1149"/>
      <c r="B30" s="1194"/>
      <c r="C30" s="1194"/>
      <c r="D30" s="1698" t="s">
        <v>407</v>
      </c>
      <c r="E30" s="1699" t="s">
        <v>408</v>
      </c>
      <c r="F30" s="1707"/>
      <c r="G30" s="1700"/>
      <c r="J30" s="1193">
        <v>0</v>
      </c>
    </row>
    <row s="58161" customFormat="1" customHeight="1" ht="11.25" hidden="1">
      <c r="A31" s="1149"/>
      <c r="B31" s="1194"/>
      <c r="C31" s="1194"/>
      <c r="D31" s="1698" t="s">
        <v>409</v>
      </c>
      <c r="E31" s="1699" t="s">
        <v>410</v>
      </c>
      <c r="F31" s="1707"/>
      <c r="G31" s="1700"/>
      <c r="J31" s="1193">
        <v>0</v>
      </c>
    </row>
    <row s="58161" customFormat="1" customHeight="1" ht="11.25" hidden="1">
      <c r="A32" s="1149"/>
      <c r="B32" s="1194"/>
      <c r="C32" s="1194"/>
      <c r="D32" s="1698" t="s">
        <v>411</v>
      </c>
      <c r="E32" s="1699" t="s">
        <v>412</v>
      </c>
      <c r="F32" s="1708"/>
      <c r="G32" s="1700"/>
      <c r="J32" s="1193">
        <v>0</v>
      </c>
    </row>
    <row customHeight="1" ht="24">
      <c r="A33" s="1149" t="str">
        <f>IF(TEMPLATE_SPHERE="HEAT","6","5")</f>
        <v>6</v>
      </c>
      <c r="B33" s="1194"/>
      <c r="C33" s="1149"/>
      <c r="D33" s="1132" t="str">
        <f>A33</f>
        <v>6</v>
      </c>
      <c r="E33" s="113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1135" t="s">
        <v>381</v>
      </c>
      <c r="G33" s="1166"/>
      <c r="H33" s="1167"/>
      <c r="J33" s="1147">
        <v>23</v>
      </c>
    </row>
    <row customHeight="1" ht="23.25">
      <c r="A34" s="1149"/>
      <c r="B34" s="1194"/>
      <c r="C34" s="1149"/>
      <c r="D34" s="1132" t="str">
        <f>D33&amp;".1"</f>
        <v>6.1</v>
      </c>
      <c r="E34" s="1134" t="str">
        <f>"фамилия"&amp;IF(TEMPLATE_SPHERE&lt;&gt;"HEAT"," руководителя","")</f>
        <v>фамилия</v>
      </c>
      <c r="F34" s="1133"/>
      <c r="G34" s="113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1167"/>
      <c r="J34" s="1147">
        <v>22</v>
      </c>
    </row>
    <row customHeight="1" ht="23.25">
      <c r="A35" s="1149"/>
      <c r="B35" s="1194"/>
      <c r="C35" s="1149"/>
      <c r="D35" s="1132" t="str">
        <f>D33&amp;".2"</f>
        <v>6.2</v>
      </c>
      <c r="E35" s="1134" t="str">
        <f>"имя"&amp;IF(TEMPLATE_SPHERE&lt;&gt;"HEAT"," руководителя","")</f>
        <v>имя</v>
      </c>
      <c r="F35" s="1133"/>
      <c r="G35" s="113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1167"/>
      <c r="J35" s="1147">
        <v>22</v>
      </c>
    </row>
    <row customHeight="1" ht="24">
      <c r="A36" s="1149"/>
      <c r="B36" s="1194"/>
      <c r="C36" s="1149"/>
      <c r="D36" s="1132" t="str">
        <f>D33&amp;".3"</f>
        <v>6.3</v>
      </c>
      <c r="E36" s="1134" t="str">
        <f>"отчество"&amp;IF(TEMPLATE_SPHERE&lt;&gt;"HEAT"," руководителя","")</f>
        <v>отчество</v>
      </c>
      <c r="F36" s="1390"/>
      <c r="G36" s="113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1167"/>
      <c r="J36" s="1147">
        <v>23</v>
      </c>
    </row>
    <row customHeight="1" ht="35.699999999999996">
      <c r="A37" s="1149"/>
      <c r="B37" s="1194"/>
      <c r="C37" s="1149"/>
      <c r="D37" s="1132">
        <f>D33+1</f>
        <v>7</v>
      </c>
      <c r="E37" s="113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1133"/>
      <c r="G37" s="1136" t="s">
        <v>413</v>
      </c>
      <c r="H37" s="1167"/>
      <c r="J37" s="1147">
        <v>34</v>
      </c>
    </row>
    <row customHeight="1" ht="35.699999999999996">
      <c r="A38" s="1149"/>
      <c r="B38" s="1194"/>
      <c r="C38" s="1149"/>
      <c r="D38" s="1132">
        <f>D37+1</f>
        <v>8</v>
      </c>
      <c r="E38" s="113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1133"/>
      <c r="G38" s="1136" t="s">
        <v>413</v>
      </c>
      <c r="H38" s="1167"/>
      <c r="J38" s="1147">
        <v>34</v>
      </c>
    </row>
    <row customHeight="1" ht="23.25">
      <c r="A39" s="1149"/>
      <c r="B39" s="1194"/>
      <c r="C39" s="1149"/>
      <c r="D39" s="1132">
        <f>D38+1</f>
        <v>9</v>
      </c>
      <c r="E39" s="112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1135" t="s">
        <v>381</v>
      </c>
      <c r="G39" s="290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167"/>
      <c r="J39" s="1147">
        <v>22</v>
      </c>
    </row>
    <row customHeight="1" ht="22.5" hidden="1">
      <c r="A40" s="1149"/>
      <c r="B40" s="1194"/>
      <c r="C40" s="1149"/>
      <c r="D40" s="1132" t="str">
        <f>D39&amp;".0"</f>
        <v>9.0</v>
      </c>
      <c r="E40" s="2297"/>
      <c r="F40" s="1573"/>
      <c r="G40" s="2903"/>
      <c r="H40" s="1167"/>
      <c r="J40" s="1147">
        <v>0</v>
      </c>
    </row>
    <row customHeight="1" ht="23.25">
      <c r="A41" s="1149"/>
      <c r="B41" s="1149"/>
      <c r="C41" s="2380"/>
      <c r="D41" s="1132" t="str">
        <f>D39&amp;".1"</f>
        <v>9.1</v>
      </c>
      <c r="E41" s="1552"/>
      <c r="F41" s="1553"/>
      <c r="G41" s="2903"/>
      <c r="H41" s="1167"/>
      <c r="J41" s="1147">
        <v>22</v>
      </c>
    </row>
    <row customHeight="1" ht="15.75">
      <c r="A42" s="1149"/>
      <c r="B42" s="1194"/>
      <c r="C42" s="1149"/>
      <c r="D42" s="1159"/>
      <c r="E42" s="1107" t="s">
        <v>414</v>
      </c>
      <c r="F42" s="1161"/>
      <c r="G42" s="2904"/>
      <c r="H42" s="1168"/>
      <c r="J42" s="1147">
        <v>15</v>
      </c>
    </row>
    <row customHeight="1" ht="27.299999999999997">
      <c r="A43" s="1149"/>
      <c r="B43" s="1194"/>
      <c r="C43" s="1149"/>
      <c r="D43" s="1132">
        <f>D39+1</f>
        <v>10</v>
      </c>
      <c r="E43" s="113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554"/>
      <c r="G43" s="113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167"/>
      <c r="J43" s="1147">
        <v>26</v>
      </c>
    </row>
    <row customHeight="1" ht="23.25">
      <c r="A44" s="1149"/>
      <c r="B44" s="1194"/>
      <c r="C44" s="1149"/>
      <c r="D44" s="1132">
        <f>D43+1</f>
        <v>11</v>
      </c>
      <c r="E44" s="113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1070"/>
      <c r="G44" s="1166" t="s">
        <v>415</v>
      </c>
      <c r="H44" s="1167"/>
      <c r="J44" s="1147">
        <v>22</v>
      </c>
    </row>
    <row customHeight="1" ht="23.25">
      <c r="A45" s="1149"/>
      <c r="B45" s="1194"/>
      <c r="C45" s="1149"/>
      <c r="D45" s="1132">
        <f>D44+1</f>
        <v>12</v>
      </c>
      <c r="E45" s="1130" t="s">
        <v>416</v>
      </c>
      <c r="F45" s="1135" t="s">
        <v>381</v>
      </c>
      <c r="G45" s="1129" t="str">
        <f>IF(TEMPLATE_SPHERE="TKO","Указывается режим работы организации.","")</f>
        <v/>
      </c>
      <c r="H45" s="1167"/>
      <c r="J45" s="1147">
        <v>22</v>
      </c>
    </row>
    <row customHeight="1" ht="24">
      <c r="A46" s="1149"/>
      <c r="B46" s="1194"/>
      <c r="C46" s="1149"/>
      <c r="D46" s="1132" t="str">
        <f>D45&amp;".1"</f>
        <v>12.1</v>
      </c>
      <c r="E46" s="1134" t="str">
        <f>"режим работы регулируемой организации"&amp;IF(TEMPLATE_SPHERE="HEAT",", ЕТО, ТО","")</f>
        <v>режим работы регулируемой организации, ЕТО, ТО</v>
      </c>
      <c r="F46" s="2376"/>
      <c r="G46" s="1129" t="s">
        <v>417</v>
      </c>
      <c r="H46" s="1167"/>
      <c r="J46" s="1147">
        <v>23</v>
      </c>
    </row>
    <row customHeight="1" ht="24">
      <c r="A47" s="2894"/>
      <c r="B47" s="1194"/>
      <c r="C47" s="1184"/>
      <c r="D47" s="1132" t="str">
        <f>D45&amp;".2"</f>
        <v>12.2</v>
      </c>
      <c r="E47" s="1134" t="s">
        <v>418</v>
      </c>
      <c r="F47" s="1182"/>
      <c r="G47" s="1129" t="s">
        <v>419</v>
      </c>
      <c r="H47" s="1167"/>
      <c r="J47" s="1147">
        <v>23</v>
      </c>
    </row>
    <row customHeight="1" ht="24">
      <c r="A48" s="2894"/>
      <c r="B48" s="1194"/>
      <c r="C48" s="1184"/>
      <c r="D48" s="1132" t="str">
        <f>D45&amp;".3"</f>
        <v>12.3</v>
      </c>
      <c r="E48" s="1134" t="s">
        <v>420</v>
      </c>
      <c r="F48" s="1182"/>
      <c r="G48" s="1129" t="s">
        <v>421</v>
      </c>
      <c r="H48" s="1167"/>
      <c r="J48" s="1147">
        <v>23</v>
      </c>
    </row>
    <row customHeight="1" ht="24">
      <c r="A49" s="2894"/>
      <c r="B49" s="1194"/>
      <c r="C49" s="1184"/>
      <c r="D49" s="1132" t="str">
        <f>IF(TEMPLATE_SPHERE="TKO",D45&amp;".0",D45&amp;".4")</f>
        <v>12.4</v>
      </c>
      <c r="E49" s="1128" t="s">
        <v>422</v>
      </c>
      <c r="F49" s="2377"/>
      <c r="G49" s="2454" t="s">
        <v>423</v>
      </c>
      <c r="H49" s="1167"/>
      <c r="J49" s="1147">
        <v>23</v>
      </c>
    </row>
    <row customHeight="1" ht="24">
      <c r="A50" s="1149"/>
      <c r="B50" s="1194"/>
      <c r="C50" s="1149"/>
      <c r="D50" s="1159"/>
      <c r="E50" s="1107" t="s">
        <v>424</v>
      </c>
      <c r="F50" s="1160"/>
      <c r="G50" s="2454" t="s">
        <v>425</v>
      </c>
      <c r="H50" s="1168"/>
      <c r="J50" s="1147">
        <v>23</v>
      </c>
    </row>
    <row customHeight="1" ht="24">
      <c r="A51" s="1550"/>
      <c r="B51" s="1194"/>
      <c r="C51" s="1184"/>
      <c r="D51" s="1132">
        <f>D45+1</f>
        <v>13</v>
      </c>
      <c r="E51" s="1220" t="s">
        <v>426</v>
      </c>
      <c r="F51" s="1182"/>
      <c r="G51" s="238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1167"/>
      <c r="J51" s="1147">
        <v>23</v>
      </c>
    </row>
    <row customHeight="1" ht="11.549999999999999">
      <c r="A52" s="1149"/>
      <c r="B52" s="1194"/>
      <c r="C52" s="1149"/>
      <c r="J52" s="1147">
        <v>11</v>
      </c>
    </row>
    <row s="58196" customFormat="1" customHeight="1" ht="31.5">
      <c r="A53" s="2379"/>
      <c r="B53" s="1195"/>
      <c r="C53" s="2895"/>
      <c r="D53" s="289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898"/>
      <c r="F53" s="2898"/>
      <c r="G53" s="2898"/>
      <c r="H53" s="1146"/>
      <c r="I53" s="1146"/>
      <c r="J53" s="1152">
        <v>30</v>
      </c>
    </row>
    <row s="58196" customFormat="1" customHeight="1" ht="42">
      <c r="A54" s="1149"/>
      <c r="B54" s="1194"/>
      <c r="C54" s="2895"/>
      <c r="D54" s="289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898"/>
      <c r="F54" s="2898"/>
      <c r="G54" s="2898"/>
      <c r="J54" s="1152">
        <v>40</v>
      </c>
    </row>
    <row customHeight="1" ht="11.549999999999999">
      <c r="D55" s="1150"/>
      <c r="E55" s="1151"/>
      <c r="F55" s="1151"/>
      <c r="G55" s="1151"/>
      <c r="J55" s="1147">
        <v>11</v>
      </c>
    </row>
    <row customHeight="1" ht="28.5">
      <c r="D56" s="1153"/>
      <c r="E56" s="1150"/>
      <c r="F56" s="1162"/>
      <c r="G56" s="1162"/>
      <c r="J56" s="1147">
        <v>27</v>
      </c>
    </row>
    <row customHeight="1" ht="11.549999999999999">
      <c r="D57" s="1150"/>
      <c r="E57" s="1150"/>
      <c r="F57" s="1151"/>
      <c r="G57" s="1151"/>
      <c r="J57" s="1147">
        <v>11</v>
      </c>
    </row>
    <row customHeight="1" ht="40.949999999999996">
      <c r="D58" s="1154"/>
      <c r="E58" s="1163"/>
      <c r="F58" s="1163"/>
      <c r="G58" s="1163"/>
      <c r="J58" s="1147">
        <v>39</v>
      </c>
    </row>
    <row customHeight="1" ht="28.5">
      <c r="D59" s="1154"/>
      <c r="E59" s="1163"/>
      <c r="F59" s="1163"/>
      <c r="G59" s="1163"/>
      <c r="J59" s="1147">
        <v>27</v>
      </c>
    </row>
    <row customHeight="1" ht="11.25" hidden="1">
      <c r="A60" s="2378" t="s">
        <v>83</v>
      </c>
      <c r="B60" s="1193">
        <v>0</v>
      </c>
      <c r="C60" s="1147">
        <v>3</v>
      </c>
      <c r="D60" s="1148">
        <v>6</v>
      </c>
      <c r="E60" s="1147">
        <v>52</v>
      </c>
      <c r="F60" s="1147">
        <v>48</v>
      </c>
      <c r="G60" s="1147">
        <v>121</v>
      </c>
      <c r="H60" s="1147">
        <v>8</v>
      </c>
      <c r="I60" s="1147">
        <v>64</v>
      </c>
      <c r="J60" s="1147">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8572D4-BA85-8162-0409-FF576ACFCF0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397333-E6A3-4544-BF19-26BAA2DBA453}"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A0C42A-4088-A1AC-DF6D-21B54E62E3C3}"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58"/>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996EC3-1A26-D099-18D6-FAFC4BA68CAB}" mc:Ignorable="x14ac xr xr2 xr3">
  <dimension ref="A1:E8"/>
  <sheetViews>
    <sheetView topLeftCell="A1" showGridLines="0" workbookViewId="0">
      <selection activeCell="A1" sqref="A1"/>
    </sheetView>
  </sheetViews>
  <sheetFormatPr customHeight="1" defaultRowHeight="11.25"/>
  <cols>
    <col min="1" max="1" style="63225" width="10.57421875" customWidth="1"/>
    <col min="2" max="2" style="63225" width="8.7109375" customWidth="1"/>
    <col min="3" max="3" style="63225" width="18.140625" customWidth="1"/>
    <col min="4" max="4" style="63225" width="12.57421875" customWidth="1"/>
  </cols>
  <sheetData>
    <row customHeight="1" ht="11.25">
      <c r="A1" s="3307" t="s">
        <v>2309</v>
      </c>
      <c r="B1" s="3308" t="s">
        <v>2310</v>
      </c>
      <c r="C1" s="3309" t="s">
        <v>2311</v>
      </c>
      <c r="D1" s="3310"/>
      <c r="E1" s="1528" t="s">
        <v>2312</v>
      </c>
    </row>
    <row customHeight="1" ht="11.25">
      <c r="A2" s="3311"/>
      <c r="B2" s="1457" t="s">
        <v>26</v>
      </c>
      <c r="C2" s="1445"/>
      <c r="D2" s="1456"/>
      <c r="E2" s="1528"/>
    </row>
    <row customHeight="1" ht="11.25">
      <c r="A3" s="3312"/>
      <c r="B3" s="3313" t="s">
        <v>33</v>
      </c>
      <c r="C3" s="1445"/>
      <c r="D3" s="1456"/>
      <c r="E3" s="1528"/>
    </row>
    <row customHeight="1" ht="11.25">
      <c r="A4" s="3314"/>
      <c r="B4" s="1458" t="s">
        <v>1734</v>
      </c>
      <c r="C4" s="1445"/>
      <c r="D4" s="1456"/>
      <c r="E4" s="1528"/>
    </row>
    <row customHeight="1" ht="11.25">
      <c r="A5" s="3315"/>
      <c r="B5" s="1458" t="s">
        <v>1729</v>
      </c>
      <c r="C5" s="3316" t="s">
        <v>2076</v>
      </c>
      <c r="D5" s="3317" t="s">
        <v>2313</v>
      </c>
      <c r="E5" s="1528"/>
    </row>
    <row s="63225" customFormat="1" customHeight="1" ht="11.25">
      <c r="A6" s="3318"/>
      <c r="B6" s="1458" t="s">
        <v>1738</v>
      </c>
      <c r="C6" s="1445"/>
      <c r="D6" s="1456"/>
      <c r="E6" s="1528"/>
    </row>
    <row customHeight="1" ht="11.25">
      <c r="A7" s="3319"/>
      <c r="B7" s="1458" t="s">
        <v>1745</v>
      </c>
      <c r="C7" s="1445"/>
      <c r="D7" s="1456"/>
      <c r="E7" s="1528"/>
    </row>
    <row customHeight="1" ht="11.25">
      <c r="A8" s="1448"/>
      <c r="B8" s="1458" t="s">
        <v>1741</v>
      </c>
      <c r="C8" s="1445"/>
      <c r="D8" s="1456"/>
      <c r="E8" s="1528"/>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95C03D-6951-70ED-4395-CBB5D9E09AF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DBABEA-BB74-497D-8E7C-C3BF2E7B96A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83627A-1B37-8DBB-A9BF-9CA079A680FC}" mc:Ignorable="x14ac xr xr2 xr3">
  <sheetPr>
    <tabColor rgb="FFFFCC99"/>
  </sheetPr>
  <dimension ref="A1:I486"/>
  <sheetViews>
    <sheetView topLeftCell="A1" showGridLines="0" workbookViewId="0">
      <selection activeCell="A1" sqref="A1"/>
    </sheetView>
  </sheetViews>
  <sheetFormatPr defaultColWidth="9.140625" customHeight="1" defaultRowHeight="11.25"/>
  <cols>
    <col min="1" max="2" style="63225" width="9.140625"/>
    <col min="3" max="3" style="63225" width="20.7109375" customWidth="1"/>
    <col min="4" max="4" style="63225" width="25.140625" customWidth="1"/>
    <col min="5" max="9" style="63225" width="9.140625"/>
  </cols>
  <sheetData>
    <row customHeight="1" ht="11.25">
      <c r="A1" s="760" t="s">
        <v>2314</v>
      </c>
      <c r="B1" s="760" t="s">
        <v>2315</v>
      </c>
      <c r="C1" s="760" t="s">
        <v>2316</v>
      </c>
      <c r="D1" s="760" t="s">
        <v>2317</v>
      </c>
      <c r="E1" s="760" t="s">
        <v>2318</v>
      </c>
      <c r="F1" s="760" t="s">
        <v>2319</v>
      </c>
      <c r="G1" s="760" t="s">
        <v>2320</v>
      </c>
      <c r="H1" s="760" t="s">
        <v>2321</v>
      </c>
      <c r="I1" s="760" t="s">
        <v>2322</v>
      </c>
    </row>
    <row customHeight="1" ht="11.25">
      <c r="A2" s="6198" t="s">
        <v>2323</v>
      </c>
      <c r="B2" s="6198" t="s">
        <v>16</v>
      </c>
      <c r="C2" s="6198" t="s">
        <v>28</v>
      </c>
      <c r="D2" s="6198" t="s">
        <v>2324</v>
      </c>
      <c r="E2" s="6198" t="s">
        <v>2325</v>
      </c>
      <c r="F2" s="6198" t="s">
        <v>2326</v>
      </c>
      <c r="G2" s="6198" t="s">
        <v>28</v>
      </c>
      <c r="H2" s="6198" t="s">
        <v>28</v>
      </c>
      <c r="I2" s="6198" t="s">
        <v>881</v>
      </c>
    </row>
    <row customHeight="1" ht="11.25">
      <c r="A3" s="6198" t="s">
        <v>2323</v>
      </c>
      <c r="B3" s="6198" t="s">
        <v>16</v>
      </c>
      <c r="C3" s="6198" t="s">
        <v>2327</v>
      </c>
      <c r="D3" s="6198" t="s">
        <v>2328</v>
      </c>
      <c r="E3" s="6198" t="s">
        <v>2329</v>
      </c>
      <c r="F3" s="6198" t="s">
        <v>2330</v>
      </c>
      <c r="G3" s="6198" t="s">
        <v>28</v>
      </c>
      <c r="H3" s="6198" t="s">
        <v>28</v>
      </c>
      <c r="I3" s="6198" t="s">
        <v>881</v>
      </c>
    </row>
    <row customHeight="1" ht="11.25">
      <c r="A4" s="6198" t="s">
        <v>2323</v>
      </c>
      <c r="B4" s="6198" t="s">
        <v>16</v>
      </c>
      <c r="C4" s="6198" t="s">
        <v>2331</v>
      </c>
      <c r="D4" s="6198" t="s">
        <v>2332</v>
      </c>
      <c r="E4" s="6198" t="s">
        <v>2333</v>
      </c>
      <c r="F4" s="6198" t="s">
        <v>2334</v>
      </c>
      <c r="G4" s="6198" t="s">
        <v>28</v>
      </c>
      <c r="H4" s="6198" t="s">
        <v>28</v>
      </c>
      <c r="I4" s="6198" t="s">
        <v>881</v>
      </c>
    </row>
    <row customHeight="1" ht="11.25">
      <c r="A5" s="6198" t="s">
        <v>2323</v>
      </c>
      <c r="B5" s="6198" t="s">
        <v>16</v>
      </c>
      <c r="C5" s="6198" t="s">
        <v>2335</v>
      </c>
      <c r="D5" s="6198" t="s">
        <v>2336</v>
      </c>
      <c r="E5" s="6198" t="s">
        <v>2337</v>
      </c>
      <c r="F5" s="6198" t="s">
        <v>2338</v>
      </c>
      <c r="G5" s="6198" t="s">
        <v>28</v>
      </c>
      <c r="H5" s="6198" t="s">
        <v>28</v>
      </c>
      <c r="I5" s="6198" t="s">
        <v>881</v>
      </c>
    </row>
    <row customHeight="1" ht="11.25">
      <c r="A6" s="6198" t="s">
        <v>2323</v>
      </c>
      <c r="B6" s="6198" t="s">
        <v>16</v>
      </c>
      <c r="C6" s="6198" t="s">
        <v>13</v>
      </c>
      <c r="D6" s="6198" t="s">
        <v>47</v>
      </c>
      <c r="E6" s="6198" t="s">
        <v>50</v>
      </c>
      <c r="F6" s="6198" t="s">
        <v>52</v>
      </c>
      <c r="G6" s="6198" t="s">
        <v>28</v>
      </c>
      <c r="H6" s="6198" t="s">
        <v>28</v>
      </c>
      <c r="I6" s="6198" t="s">
        <v>881</v>
      </c>
    </row>
    <row customHeight="1" ht="11.25">
      <c r="A7" s="6198" t="s">
        <v>2323</v>
      </c>
      <c r="B7" s="6198" t="s">
        <v>16</v>
      </c>
      <c r="C7" s="6198" t="s">
        <v>2339</v>
      </c>
      <c r="D7" s="6198" t="s">
        <v>47</v>
      </c>
      <c r="E7" s="6198" t="s">
        <v>50</v>
      </c>
      <c r="F7" s="6198" t="s">
        <v>2340</v>
      </c>
      <c r="G7" s="6198" t="s">
        <v>2341</v>
      </c>
      <c r="H7" s="6198" t="s">
        <v>28</v>
      </c>
      <c r="I7" s="6198" t="s">
        <v>881</v>
      </c>
    </row>
    <row customHeight="1" ht="11.25">
      <c r="A8" s="6198" t="s">
        <v>2323</v>
      </c>
      <c r="B8" s="6198" t="s">
        <v>16</v>
      </c>
      <c r="C8" s="6198" t="s">
        <v>2342</v>
      </c>
      <c r="D8" s="6198" t="s">
        <v>2343</v>
      </c>
      <c r="E8" s="6198" t="s">
        <v>50</v>
      </c>
      <c r="F8" s="6198" t="s">
        <v>2344</v>
      </c>
      <c r="G8" s="6198" t="s">
        <v>28</v>
      </c>
      <c r="H8" s="6198" t="s">
        <v>28</v>
      </c>
      <c r="I8" s="6198" t="s">
        <v>881</v>
      </c>
    </row>
    <row customHeight="1" ht="11.25">
      <c r="A9" s="6198" t="s">
        <v>2323</v>
      </c>
      <c r="B9" s="6198" t="s">
        <v>16</v>
      </c>
      <c r="C9" s="6198" t="s">
        <v>2345</v>
      </c>
      <c r="D9" s="6198" t="s">
        <v>2346</v>
      </c>
      <c r="E9" s="6198" t="s">
        <v>50</v>
      </c>
      <c r="F9" s="6198" t="s">
        <v>2347</v>
      </c>
      <c r="G9" s="6198" t="s">
        <v>28</v>
      </c>
      <c r="H9" s="6198" t="s">
        <v>28</v>
      </c>
      <c r="I9" s="6198" t="s">
        <v>881</v>
      </c>
    </row>
    <row customHeight="1" ht="11.25">
      <c r="A10" s="6198" t="s">
        <v>2323</v>
      </c>
      <c r="B10" s="6198" t="s">
        <v>16</v>
      </c>
      <c r="C10" s="6198" t="s">
        <v>2348</v>
      </c>
      <c r="D10" s="6198" t="s">
        <v>2349</v>
      </c>
      <c r="E10" s="6198" t="s">
        <v>2350</v>
      </c>
      <c r="F10" s="6198" t="s">
        <v>2351</v>
      </c>
      <c r="G10" s="6198" t="s">
        <v>28</v>
      </c>
      <c r="H10" s="6198" t="s">
        <v>28</v>
      </c>
      <c r="I10" s="6198" t="s">
        <v>881</v>
      </c>
    </row>
    <row customHeight="1" ht="11.25">
      <c r="A11" s="6198" t="s">
        <v>2323</v>
      </c>
      <c r="B11" s="6198" t="s">
        <v>16</v>
      </c>
      <c r="C11" s="6198" t="s">
        <v>2352</v>
      </c>
      <c r="D11" s="6198" t="s">
        <v>2353</v>
      </c>
      <c r="E11" s="6198" t="s">
        <v>2354</v>
      </c>
      <c r="F11" s="6198" t="s">
        <v>2355</v>
      </c>
      <c r="G11" s="6198" t="s">
        <v>28</v>
      </c>
      <c r="H11" s="6198" t="s">
        <v>28</v>
      </c>
      <c r="I11" s="6198" t="s">
        <v>881</v>
      </c>
    </row>
    <row customHeight="1" ht="11.25">
      <c r="A12" s="6198" t="s">
        <v>2323</v>
      </c>
      <c r="B12" s="6198" t="s">
        <v>16</v>
      </c>
      <c r="C12" s="6198" t="s">
        <v>2356</v>
      </c>
      <c r="D12" s="6198" t="s">
        <v>2357</v>
      </c>
      <c r="E12" s="6198" t="s">
        <v>2358</v>
      </c>
      <c r="F12" s="6198" t="s">
        <v>2359</v>
      </c>
      <c r="G12" s="6198" t="s">
        <v>28</v>
      </c>
      <c r="H12" s="6198" t="s">
        <v>28</v>
      </c>
      <c r="I12" s="6198" t="s">
        <v>881</v>
      </c>
    </row>
    <row customHeight="1" ht="11.25">
      <c r="A13" s="6198" t="s">
        <v>2323</v>
      </c>
      <c r="B13" s="6198" t="s">
        <v>16</v>
      </c>
      <c r="C13" s="6198" t="s">
        <v>2360</v>
      </c>
      <c r="D13" s="6198" t="s">
        <v>2361</v>
      </c>
      <c r="E13" s="6198" t="s">
        <v>2362</v>
      </c>
      <c r="F13" s="6198" t="s">
        <v>2363</v>
      </c>
      <c r="G13" s="6198" t="s">
        <v>2364</v>
      </c>
      <c r="H13" s="6198" t="s">
        <v>28</v>
      </c>
      <c r="I13" s="6198" t="s">
        <v>881</v>
      </c>
    </row>
    <row customHeight="1" ht="11.25">
      <c r="A14" s="6198" t="s">
        <v>2323</v>
      </c>
      <c r="B14" s="6198" t="s">
        <v>16</v>
      </c>
      <c r="C14" s="6198" t="s">
        <v>2365</v>
      </c>
      <c r="D14" s="6198" t="s">
        <v>2366</v>
      </c>
      <c r="E14" s="6198" t="s">
        <v>2367</v>
      </c>
      <c r="F14" s="6198" t="s">
        <v>2334</v>
      </c>
      <c r="G14" s="6198" t="s">
        <v>28</v>
      </c>
      <c r="H14" s="6198" t="s">
        <v>28</v>
      </c>
      <c r="I14" s="6198" t="s">
        <v>881</v>
      </c>
    </row>
    <row customHeight="1" ht="11.25">
      <c r="A15" s="6198" t="s">
        <v>2323</v>
      </c>
      <c r="B15" s="6198" t="s">
        <v>16</v>
      </c>
      <c r="C15" s="6198" t="s">
        <v>2368</v>
      </c>
      <c r="D15" s="6198" t="s">
        <v>2369</v>
      </c>
      <c r="E15" s="6198" t="s">
        <v>2370</v>
      </c>
      <c r="F15" s="6198" t="s">
        <v>2371</v>
      </c>
      <c r="G15" s="6198" t="s">
        <v>28</v>
      </c>
      <c r="H15" s="6198" t="s">
        <v>28</v>
      </c>
      <c r="I15" s="6198" t="s">
        <v>881</v>
      </c>
    </row>
    <row customHeight="1" ht="11.25">
      <c r="A16" s="6198" t="s">
        <v>2323</v>
      </c>
      <c r="B16" s="6198" t="s">
        <v>16</v>
      </c>
      <c r="C16" s="6198" t="s">
        <v>2372</v>
      </c>
      <c r="D16" s="6198" t="s">
        <v>2373</v>
      </c>
      <c r="E16" s="6198" t="s">
        <v>2374</v>
      </c>
      <c r="F16" s="6198" t="s">
        <v>2375</v>
      </c>
      <c r="G16" s="6198" t="s">
        <v>2376</v>
      </c>
      <c r="H16" s="6198" t="s">
        <v>28</v>
      </c>
      <c r="I16" s="6198" t="s">
        <v>881</v>
      </c>
    </row>
    <row customHeight="1" ht="11.25">
      <c r="A17" s="6198" t="s">
        <v>2323</v>
      </c>
      <c r="B17" s="6198" t="s">
        <v>16</v>
      </c>
      <c r="C17" s="6198" t="s">
        <v>2377</v>
      </c>
      <c r="D17" s="6198" t="s">
        <v>2378</v>
      </c>
      <c r="E17" s="6198" t="s">
        <v>2379</v>
      </c>
      <c r="F17" s="6198" t="s">
        <v>2380</v>
      </c>
      <c r="G17" s="6198" t="s">
        <v>2381</v>
      </c>
      <c r="H17" s="6198" t="s">
        <v>28</v>
      </c>
      <c r="I17" s="6198" t="s">
        <v>881</v>
      </c>
    </row>
    <row customHeight="1" ht="11.25">
      <c r="A18" s="6198" t="s">
        <v>2323</v>
      </c>
      <c r="B18" s="6198" t="s">
        <v>16</v>
      </c>
      <c r="C18" s="6198" t="s">
        <v>2382</v>
      </c>
      <c r="D18" s="6198" t="s">
        <v>2383</v>
      </c>
      <c r="E18" s="6198" t="s">
        <v>2384</v>
      </c>
      <c r="F18" s="6198" t="s">
        <v>2351</v>
      </c>
      <c r="G18" s="6198" t="s">
        <v>28</v>
      </c>
      <c r="H18" s="6198" t="s">
        <v>28</v>
      </c>
      <c r="I18" s="6198" t="s">
        <v>881</v>
      </c>
    </row>
    <row customHeight="1" ht="11.25">
      <c r="A19" s="6198" t="s">
        <v>2323</v>
      </c>
      <c r="B19" s="6198" t="s">
        <v>16</v>
      </c>
      <c r="C19" s="6198" t="s">
        <v>2385</v>
      </c>
      <c r="D19" s="6198" t="s">
        <v>2386</v>
      </c>
      <c r="E19" s="6198" t="s">
        <v>2387</v>
      </c>
      <c r="F19" s="6198" t="s">
        <v>2388</v>
      </c>
      <c r="G19" s="6198" t="s">
        <v>28</v>
      </c>
      <c r="H19" s="6198" t="s">
        <v>28</v>
      </c>
      <c r="I19" s="6198" t="s">
        <v>881</v>
      </c>
    </row>
    <row customHeight="1" ht="11.25">
      <c r="A20" s="6198" t="s">
        <v>2323</v>
      </c>
      <c r="B20" s="6198" t="s">
        <v>16</v>
      </c>
      <c r="C20" s="6198" t="s">
        <v>2389</v>
      </c>
      <c r="D20" s="6198" t="s">
        <v>2390</v>
      </c>
      <c r="E20" s="6198" t="s">
        <v>2391</v>
      </c>
      <c r="F20" s="6198" t="s">
        <v>2359</v>
      </c>
      <c r="G20" s="6198" t="s">
        <v>2392</v>
      </c>
      <c r="H20" s="6198" t="s">
        <v>28</v>
      </c>
      <c r="I20" s="6198" t="s">
        <v>881</v>
      </c>
    </row>
    <row customHeight="1" ht="11.25">
      <c r="A21" s="6198" t="s">
        <v>2323</v>
      </c>
      <c r="B21" s="6198" t="s">
        <v>16</v>
      </c>
      <c r="C21" s="6198" t="s">
        <v>2393</v>
      </c>
      <c r="D21" s="6198" t="s">
        <v>2394</v>
      </c>
      <c r="E21" s="6198" t="s">
        <v>2395</v>
      </c>
      <c r="F21" s="6198" t="s">
        <v>2396</v>
      </c>
      <c r="G21" s="6198" t="s">
        <v>28</v>
      </c>
      <c r="H21" s="6198" t="s">
        <v>28</v>
      </c>
      <c r="I21" s="6198" t="s">
        <v>881</v>
      </c>
    </row>
    <row customHeight="1" ht="11.25">
      <c r="A22" s="6198" t="s">
        <v>2323</v>
      </c>
      <c r="B22" s="6198" t="s">
        <v>16</v>
      </c>
      <c r="C22" s="6198" t="s">
        <v>2397</v>
      </c>
      <c r="D22" s="6198" t="s">
        <v>2398</v>
      </c>
      <c r="E22" s="6198" t="s">
        <v>2399</v>
      </c>
      <c r="F22" s="6198" t="s">
        <v>2326</v>
      </c>
      <c r="G22" s="6198" t="s">
        <v>2400</v>
      </c>
      <c r="H22" s="6198" t="s">
        <v>28</v>
      </c>
      <c r="I22" s="6198" t="s">
        <v>881</v>
      </c>
    </row>
    <row customHeight="1" ht="11.25">
      <c r="A23" s="6198" t="s">
        <v>2323</v>
      </c>
      <c r="B23" s="6198" t="s">
        <v>16</v>
      </c>
      <c r="C23" s="6198" t="s">
        <v>2401</v>
      </c>
      <c r="D23" s="6198" t="s">
        <v>2402</v>
      </c>
      <c r="E23" s="6198" t="s">
        <v>2403</v>
      </c>
      <c r="F23" s="6198" t="s">
        <v>2404</v>
      </c>
      <c r="G23" s="6198" t="s">
        <v>28</v>
      </c>
      <c r="H23" s="6198" t="s">
        <v>28</v>
      </c>
      <c r="I23" s="6198" t="s">
        <v>881</v>
      </c>
    </row>
    <row customHeight="1" ht="11.25">
      <c r="A24" s="6198" t="s">
        <v>2323</v>
      </c>
      <c r="B24" s="6198" t="s">
        <v>16</v>
      </c>
      <c r="C24" s="6198" t="s">
        <v>2405</v>
      </c>
      <c r="D24" s="6198" t="s">
        <v>2406</v>
      </c>
      <c r="E24" s="6198" t="s">
        <v>2407</v>
      </c>
      <c r="F24" s="6198" t="s">
        <v>2359</v>
      </c>
      <c r="G24" s="6198" t="s">
        <v>28</v>
      </c>
      <c r="H24" s="6198" t="s">
        <v>28</v>
      </c>
      <c r="I24" s="6198" t="s">
        <v>881</v>
      </c>
    </row>
    <row customHeight="1" ht="11.25">
      <c r="A25" s="6198" t="s">
        <v>2323</v>
      </c>
      <c r="B25" s="6198" t="s">
        <v>16</v>
      </c>
      <c r="C25" s="6198" t="s">
        <v>2408</v>
      </c>
      <c r="D25" s="6198" t="s">
        <v>2409</v>
      </c>
      <c r="E25" s="6198" t="s">
        <v>2410</v>
      </c>
      <c r="F25" s="6198" t="s">
        <v>2326</v>
      </c>
      <c r="G25" s="6198" t="s">
        <v>28</v>
      </c>
      <c r="H25" s="6198" t="s">
        <v>28</v>
      </c>
      <c r="I25" s="6198" t="s">
        <v>881</v>
      </c>
    </row>
    <row customHeight="1" ht="11.25">
      <c r="A26" s="6198" t="s">
        <v>2323</v>
      </c>
      <c r="B26" s="6198" t="s">
        <v>16</v>
      </c>
      <c r="C26" s="6198" t="s">
        <v>2411</v>
      </c>
      <c r="D26" s="6198" t="s">
        <v>2412</v>
      </c>
      <c r="E26" s="6198" t="s">
        <v>2413</v>
      </c>
      <c r="F26" s="6198" t="s">
        <v>2414</v>
      </c>
      <c r="G26" s="6198" t="s">
        <v>28</v>
      </c>
      <c r="H26" s="6198" t="s">
        <v>28</v>
      </c>
      <c r="I26" s="6198" t="s">
        <v>881</v>
      </c>
    </row>
    <row customHeight="1" ht="11.25">
      <c r="A27" s="6198" t="s">
        <v>2323</v>
      </c>
      <c r="B27" s="6198" t="s">
        <v>16</v>
      </c>
      <c r="C27" s="6198" t="s">
        <v>2415</v>
      </c>
      <c r="D27" s="6198" t="s">
        <v>2416</v>
      </c>
      <c r="E27" s="6198" t="s">
        <v>2417</v>
      </c>
      <c r="F27" s="6198" t="s">
        <v>2418</v>
      </c>
      <c r="G27" s="6198" t="s">
        <v>28</v>
      </c>
      <c r="H27" s="6198" t="s">
        <v>28</v>
      </c>
      <c r="I27" s="6198" t="s">
        <v>881</v>
      </c>
    </row>
    <row customHeight="1" ht="11.25">
      <c r="A28" s="6198" t="s">
        <v>2323</v>
      </c>
      <c r="B28" s="6198" t="s">
        <v>16</v>
      </c>
      <c r="C28" s="6198" t="s">
        <v>2419</v>
      </c>
      <c r="D28" s="6198" t="s">
        <v>2420</v>
      </c>
      <c r="E28" s="6198" t="s">
        <v>2417</v>
      </c>
      <c r="F28" s="6198" t="s">
        <v>2421</v>
      </c>
      <c r="G28" s="6198" t="s">
        <v>28</v>
      </c>
      <c r="H28" s="6198" t="s">
        <v>28</v>
      </c>
      <c r="I28" s="6198" t="s">
        <v>881</v>
      </c>
    </row>
    <row customHeight="1" ht="11.25">
      <c r="A29" s="6198" t="s">
        <v>2323</v>
      </c>
      <c r="B29" s="6198" t="s">
        <v>16</v>
      </c>
      <c r="C29" s="6198" t="s">
        <v>2422</v>
      </c>
      <c r="D29" s="6198" t="s">
        <v>2423</v>
      </c>
      <c r="E29" s="6198" t="s">
        <v>2424</v>
      </c>
      <c r="F29" s="6198" t="s">
        <v>2425</v>
      </c>
      <c r="G29" s="6198" t="s">
        <v>28</v>
      </c>
      <c r="H29" s="6198" t="s">
        <v>28</v>
      </c>
      <c r="I29" s="6198" t="s">
        <v>881</v>
      </c>
    </row>
    <row customHeight="1" ht="11.25">
      <c r="A30" s="6198" t="s">
        <v>2323</v>
      </c>
      <c r="B30" s="6198" t="s">
        <v>16</v>
      </c>
      <c r="C30" s="6198" t="s">
        <v>2426</v>
      </c>
      <c r="D30" s="6198" t="s">
        <v>2427</v>
      </c>
      <c r="E30" s="6198" t="s">
        <v>2428</v>
      </c>
      <c r="F30" s="6198" t="s">
        <v>2388</v>
      </c>
      <c r="G30" s="6198" t="s">
        <v>2429</v>
      </c>
      <c r="H30" s="6198" t="s">
        <v>28</v>
      </c>
      <c r="I30" s="6198" t="s">
        <v>881</v>
      </c>
    </row>
    <row customHeight="1" ht="11.25">
      <c r="A31" s="6198" t="s">
        <v>2323</v>
      </c>
      <c r="B31" s="6198" t="s">
        <v>16</v>
      </c>
      <c r="C31" s="6198" t="s">
        <v>2430</v>
      </c>
      <c r="D31" s="6198" t="s">
        <v>2431</v>
      </c>
      <c r="E31" s="6198" t="s">
        <v>2432</v>
      </c>
      <c r="F31" s="6198" t="s">
        <v>2371</v>
      </c>
      <c r="G31" s="6198" t="s">
        <v>28</v>
      </c>
      <c r="H31" s="6198" t="s">
        <v>28</v>
      </c>
      <c r="I31" s="6198" t="s">
        <v>881</v>
      </c>
    </row>
    <row customHeight="1" ht="11.25">
      <c r="A32" s="6198" t="s">
        <v>2323</v>
      </c>
      <c r="B32" s="6198" t="s">
        <v>16</v>
      </c>
      <c r="C32" s="6198" t="s">
        <v>2433</v>
      </c>
      <c r="D32" s="6198" t="s">
        <v>2434</v>
      </c>
      <c r="E32" s="6198" t="s">
        <v>2435</v>
      </c>
      <c r="F32" s="6198" t="s">
        <v>2359</v>
      </c>
      <c r="G32" s="6198" t="s">
        <v>28</v>
      </c>
      <c r="H32" s="6198" t="s">
        <v>28</v>
      </c>
      <c r="I32" s="6198" t="s">
        <v>881</v>
      </c>
    </row>
    <row customHeight="1" ht="11.25">
      <c r="A33" s="6198" t="s">
        <v>2323</v>
      </c>
      <c r="B33" s="6198" t="s">
        <v>16</v>
      </c>
      <c r="C33" s="6198" t="s">
        <v>2436</v>
      </c>
      <c r="D33" s="6198" t="s">
        <v>2437</v>
      </c>
      <c r="E33" s="6198" t="s">
        <v>2438</v>
      </c>
      <c r="F33" s="6198" t="s">
        <v>649</v>
      </c>
      <c r="G33" s="6198" t="s">
        <v>2439</v>
      </c>
      <c r="H33" s="6198" t="s">
        <v>28</v>
      </c>
      <c r="I33" s="6198" t="s">
        <v>881</v>
      </c>
    </row>
    <row customHeight="1" ht="11.25">
      <c r="A34" s="6198" t="s">
        <v>2323</v>
      </c>
      <c r="B34" s="6198" t="s">
        <v>16</v>
      </c>
      <c r="C34" s="6198" t="s">
        <v>2440</v>
      </c>
      <c r="D34" s="6198" t="s">
        <v>2441</v>
      </c>
      <c r="E34" s="6198" t="s">
        <v>2442</v>
      </c>
      <c r="F34" s="6198" t="s">
        <v>2359</v>
      </c>
      <c r="G34" s="6198" t="s">
        <v>28</v>
      </c>
      <c r="H34" s="6198" t="s">
        <v>28</v>
      </c>
      <c r="I34" s="6198" t="s">
        <v>881</v>
      </c>
    </row>
    <row customHeight="1" ht="11.25">
      <c r="A35" s="6198" t="s">
        <v>2323</v>
      </c>
      <c r="B35" s="6198" t="s">
        <v>16</v>
      </c>
      <c r="C35" s="6198" t="s">
        <v>2443</v>
      </c>
      <c r="D35" s="6198" t="s">
        <v>2444</v>
      </c>
      <c r="E35" s="6198" t="s">
        <v>2445</v>
      </c>
      <c r="F35" s="6198" t="s">
        <v>2446</v>
      </c>
      <c r="G35" s="6198" t="s">
        <v>2447</v>
      </c>
      <c r="H35" s="6198" t="s">
        <v>28</v>
      </c>
      <c r="I35" s="6198" t="s">
        <v>881</v>
      </c>
    </row>
    <row customHeight="1" ht="11.25">
      <c r="A36" s="6198" t="s">
        <v>2323</v>
      </c>
      <c r="B36" s="6198" t="s">
        <v>16</v>
      </c>
      <c r="C36" s="6198" t="s">
        <v>2448</v>
      </c>
      <c r="D36" s="6198" t="s">
        <v>2449</v>
      </c>
      <c r="E36" s="6198" t="s">
        <v>2450</v>
      </c>
      <c r="F36" s="6198" t="s">
        <v>2425</v>
      </c>
      <c r="G36" s="6198" t="s">
        <v>28</v>
      </c>
      <c r="H36" s="6198" t="s">
        <v>28</v>
      </c>
      <c r="I36" s="6198" t="s">
        <v>881</v>
      </c>
    </row>
    <row customHeight="1" ht="11.25">
      <c r="A37" s="6198" t="s">
        <v>2323</v>
      </c>
      <c r="B37" s="6198" t="s">
        <v>16</v>
      </c>
      <c r="C37" s="6198" t="s">
        <v>2451</v>
      </c>
      <c r="D37" s="6198" t="s">
        <v>2452</v>
      </c>
      <c r="E37" s="6198" t="s">
        <v>2453</v>
      </c>
      <c r="F37" s="6198" t="s">
        <v>2454</v>
      </c>
      <c r="G37" s="6198" t="s">
        <v>28</v>
      </c>
      <c r="H37" s="6198" t="s">
        <v>28</v>
      </c>
      <c r="I37" s="6198" t="s">
        <v>881</v>
      </c>
    </row>
    <row customHeight="1" ht="11.25">
      <c r="A38" s="6198" t="s">
        <v>2323</v>
      </c>
      <c r="B38" s="6198" t="s">
        <v>16</v>
      </c>
      <c r="C38" s="6198" t="s">
        <v>2455</v>
      </c>
      <c r="D38" s="6198" t="s">
        <v>2456</v>
      </c>
      <c r="E38" s="6198" t="s">
        <v>2457</v>
      </c>
      <c r="F38" s="6198" t="s">
        <v>2425</v>
      </c>
      <c r="G38" s="6198" t="s">
        <v>28</v>
      </c>
      <c r="H38" s="6198" t="s">
        <v>28</v>
      </c>
      <c r="I38" s="6198" t="s">
        <v>881</v>
      </c>
    </row>
    <row customHeight="1" ht="11.25">
      <c r="A39" s="6198" t="s">
        <v>2323</v>
      </c>
      <c r="B39" s="6198" t="s">
        <v>16</v>
      </c>
      <c r="C39" s="6198" t="s">
        <v>2458</v>
      </c>
      <c r="D39" s="6198" t="s">
        <v>2459</v>
      </c>
      <c r="E39" s="6198" t="s">
        <v>2460</v>
      </c>
      <c r="F39" s="6198" t="s">
        <v>2359</v>
      </c>
      <c r="G39" s="6198" t="s">
        <v>28</v>
      </c>
      <c r="H39" s="6198" t="s">
        <v>28</v>
      </c>
      <c r="I39" s="6198" t="s">
        <v>881</v>
      </c>
    </row>
    <row customHeight="1" ht="11.25">
      <c r="A40" s="6198" t="s">
        <v>2323</v>
      </c>
      <c r="B40" s="6198" t="s">
        <v>16</v>
      </c>
      <c r="C40" s="6198" t="s">
        <v>2461</v>
      </c>
      <c r="D40" s="6198" t="s">
        <v>2462</v>
      </c>
      <c r="E40" s="6198" t="s">
        <v>2463</v>
      </c>
      <c r="F40" s="6198" t="s">
        <v>2464</v>
      </c>
      <c r="G40" s="6198" t="s">
        <v>28</v>
      </c>
      <c r="H40" s="6198" t="s">
        <v>28</v>
      </c>
      <c r="I40" s="6198" t="s">
        <v>881</v>
      </c>
    </row>
    <row customHeight="1" ht="11.25">
      <c r="A41" s="6198" t="s">
        <v>2323</v>
      </c>
      <c r="B41" s="6198" t="s">
        <v>16</v>
      </c>
      <c r="C41" s="6198" t="s">
        <v>2465</v>
      </c>
      <c r="D41" s="6198" t="s">
        <v>2466</v>
      </c>
      <c r="E41" s="6198" t="s">
        <v>2467</v>
      </c>
      <c r="F41" s="6198" t="s">
        <v>2464</v>
      </c>
      <c r="G41" s="6198" t="s">
        <v>28</v>
      </c>
      <c r="H41" s="6198" t="s">
        <v>28</v>
      </c>
      <c r="I41" s="6198" t="s">
        <v>881</v>
      </c>
    </row>
    <row customHeight="1" ht="11.25">
      <c r="A42" s="6198" t="s">
        <v>2323</v>
      </c>
      <c r="B42" s="6198" t="s">
        <v>16</v>
      </c>
      <c r="C42" s="6198" t="s">
        <v>2468</v>
      </c>
      <c r="D42" s="6198" t="s">
        <v>2469</v>
      </c>
      <c r="E42" s="6198" t="s">
        <v>2470</v>
      </c>
      <c r="F42" s="6198" t="s">
        <v>2334</v>
      </c>
      <c r="G42" s="6198" t="s">
        <v>2471</v>
      </c>
      <c r="H42" s="6198" t="s">
        <v>28</v>
      </c>
      <c r="I42" s="6198" t="s">
        <v>881</v>
      </c>
    </row>
    <row customHeight="1" ht="11.25">
      <c r="A43" s="6198" t="s">
        <v>2323</v>
      </c>
      <c r="B43" s="6198" t="s">
        <v>16</v>
      </c>
      <c r="C43" s="6198" t="s">
        <v>2472</v>
      </c>
      <c r="D43" s="6198" t="s">
        <v>2473</v>
      </c>
      <c r="E43" s="6198" t="s">
        <v>2474</v>
      </c>
      <c r="F43" s="6198" t="s">
        <v>2475</v>
      </c>
      <c r="G43" s="6198" t="s">
        <v>28</v>
      </c>
      <c r="H43" s="6198" t="s">
        <v>28</v>
      </c>
      <c r="I43" s="6198" t="s">
        <v>881</v>
      </c>
    </row>
    <row customHeight="1" ht="11.25">
      <c r="A44" s="6198" t="s">
        <v>2323</v>
      </c>
      <c r="B44" s="6198" t="s">
        <v>16</v>
      </c>
      <c r="C44" s="6198" t="s">
        <v>2476</v>
      </c>
      <c r="D44" s="6198" t="s">
        <v>2477</v>
      </c>
      <c r="E44" s="6198" t="s">
        <v>2478</v>
      </c>
      <c r="F44" s="6198" t="s">
        <v>2351</v>
      </c>
      <c r="G44" s="6198" t="s">
        <v>28</v>
      </c>
      <c r="H44" s="6198" t="s">
        <v>28</v>
      </c>
      <c r="I44" s="6198" t="s">
        <v>881</v>
      </c>
    </row>
    <row customHeight="1" ht="11.25">
      <c r="A45" s="6198" t="s">
        <v>2323</v>
      </c>
      <c r="B45" s="6198" t="s">
        <v>16</v>
      </c>
      <c r="C45" s="6198" t="s">
        <v>2479</v>
      </c>
      <c r="D45" s="6198" t="s">
        <v>2480</v>
      </c>
      <c r="E45" s="6198" t="s">
        <v>2481</v>
      </c>
      <c r="F45" s="6198" t="s">
        <v>2482</v>
      </c>
      <c r="G45" s="6198" t="s">
        <v>28</v>
      </c>
      <c r="H45" s="6198" t="s">
        <v>28</v>
      </c>
      <c r="I45" s="6198" t="s">
        <v>881</v>
      </c>
    </row>
    <row customHeight="1" ht="11.25">
      <c r="A46" s="6198" t="s">
        <v>2323</v>
      </c>
      <c r="B46" s="6198" t="s">
        <v>16</v>
      </c>
      <c r="C46" s="6198" t="s">
        <v>2483</v>
      </c>
      <c r="D46" s="6198" t="s">
        <v>2484</v>
      </c>
      <c r="E46" s="6198" t="s">
        <v>2485</v>
      </c>
      <c r="F46" s="6198" t="s">
        <v>2486</v>
      </c>
      <c r="G46" s="6198" t="s">
        <v>28</v>
      </c>
      <c r="H46" s="6198" t="s">
        <v>28</v>
      </c>
      <c r="I46" s="6198" t="s">
        <v>881</v>
      </c>
    </row>
    <row customHeight="1" ht="11.25">
      <c r="A47" s="6198" t="s">
        <v>2323</v>
      </c>
      <c r="B47" s="6198" t="s">
        <v>16</v>
      </c>
      <c r="C47" s="6198" t="s">
        <v>2487</v>
      </c>
      <c r="D47" s="6198" t="s">
        <v>2488</v>
      </c>
      <c r="E47" s="6198" t="s">
        <v>2489</v>
      </c>
      <c r="F47" s="6198" t="s">
        <v>2486</v>
      </c>
      <c r="G47" s="6198" t="s">
        <v>28</v>
      </c>
      <c r="H47" s="6198" t="s">
        <v>28</v>
      </c>
      <c r="I47" s="6198" t="s">
        <v>881</v>
      </c>
    </row>
    <row customHeight="1" ht="11.25">
      <c r="A48" s="6198" t="s">
        <v>2323</v>
      </c>
      <c r="B48" s="6198" t="s">
        <v>16</v>
      </c>
      <c r="C48" s="6198" t="s">
        <v>2490</v>
      </c>
      <c r="D48" s="6198" t="s">
        <v>2491</v>
      </c>
      <c r="E48" s="6198" t="s">
        <v>2492</v>
      </c>
      <c r="F48" s="6198" t="s">
        <v>2493</v>
      </c>
      <c r="G48" s="6198" t="s">
        <v>28</v>
      </c>
      <c r="H48" s="6198" t="s">
        <v>28</v>
      </c>
      <c r="I48" s="6198" t="s">
        <v>881</v>
      </c>
    </row>
    <row customHeight="1" ht="11.25">
      <c r="A49" s="6198" t="s">
        <v>2323</v>
      </c>
      <c r="B49" s="6198" t="s">
        <v>16</v>
      </c>
      <c r="C49" s="6198" t="s">
        <v>2494</v>
      </c>
      <c r="D49" s="6198" t="s">
        <v>2495</v>
      </c>
      <c r="E49" s="6198" t="s">
        <v>2496</v>
      </c>
      <c r="F49" s="6198" t="s">
        <v>2359</v>
      </c>
      <c r="G49" s="6198" t="s">
        <v>28</v>
      </c>
      <c r="H49" s="6198" t="s">
        <v>28</v>
      </c>
      <c r="I49" s="6198" t="s">
        <v>881</v>
      </c>
    </row>
    <row customHeight="1" ht="11.25">
      <c r="A50" s="6198" t="s">
        <v>2323</v>
      </c>
      <c r="B50" s="6198" t="s">
        <v>16</v>
      </c>
      <c r="C50" s="6198" t="s">
        <v>2497</v>
      </c>
      <c r="D50" s="6198" t="s">
        <v>2498</v>
      </c>
      <c r="E50" s="6198" t="s">
        <v>2499</v>
      </c>
      <c r="F50" s="6198" t="s">
        <v>2482</v>
      </c>
      <c r="G50" s="6198" t="s">
        <v>28</v>
      </c>
      <c r="H50" s="6198" t="s">
        <v>28</v>
      </c>
      <c r="I50" s="6198" t="s">
        <v>881</v>
      </c>
    </row>
    <row customHeight="1" ht="11.25">
      <c r="A51" s="6198" t="s">
        <v>2323</v>
      </c>
      <c r="B51" s="6198" t="s">
        <v>16</v>
      </c>
      <c r="C51" s="6198" t="s">
        <v>2500</v>
      </c>
      <c r="D51" s="6198" t="s">
        <v>2501</v>
      </c>
      <c r="E51" s="6198" t="s">
        <v>2502</v>
      </c>
      <c r="F51" s="6198" t="s">
        <v>2503</v>
      </c>
      <c r="G51" s="6198" t="s">
        <v>28</v>
      </c>
      <c r="H51" s="6198" t="s">
        <v>28</v>
      </c>
      <c r="I51" s="6198" t="s">
        <v>881</v>
      </c>
    </row>
    <row customHeight="1" ht="11.25">
      <c r="A52" s="6198" t="s">
        <v>2323</v>
      </c>
      <c r="B52" s="6198" t="s">
        <v>16</v>
      </c>
      <c r="C52" s="6198" t="s">
        <v>2504</v>
      </c>
      <c r="D52" s="6198" t="s">
        <v>2505</v>
      </c>
      <c r="E52" s="6198" t="s">
        <v>2506</v>
      </c>
      <c r="F52" s="6198" t="s">
        <v>2464</v>
      </c>
      <c r="G52" s="6198" t="s">
        <v>28</v>
      </c>
      <c r="H52" s="6198" t="s">
        <v>28</v>
      </c>
      <c r="I52" s="6198" t="s">
        <v>881</v>
      </c>
    </row>
    <row customHeight="1" ht="11.25">
      <c r="A53" s="6198" t="s">
        <v>2323</v>
      </c>
      <c r="B53" s="6198" t="s">
        <v>16</v>
      </c>
      <c r="C53" s="6198" t="s">
        <v>2507</v>
      </c>
      <c r="D53" s="6198" t="s">
        <v>2508</v>
      </c>
      <c r="E53" s="6198" t="s">
        <v>2509</v>
      </c>
      <c r="F53" s="6198" t="s">
        <v>2510</v>
      </c>
      <c r="G53" s="6198" t="s">
        <v>28</v>
      </c>
      <c r="H53" s="6198" t="s">
        <v>28</v>
      </c>
      <c r="I53" s="6198" t="s">
        <v>881</v>
      </c>
    </row>
    <row customHeight="1" ht="11.25">
      <c r="A54" s="6198" t="s">
        <v>2323</v>
      </c>
      <c r="B54" s="6198" t="s">
        <v>16</v>
      </c>
      <c r="C54" s="6198" t="s">
        <v>2511</v>
      </c>
      <c r="D54" s="6198" t="s">
        <v>2512</v>
      </c>
      <c r="E54" s="6198" t="s">
        <v>2513</v>
      </c>
      <c r="F54" s="6198" t="s">
        <v>2371</v>
      </c>
      <c r="G54" s="6198" t="s">
        <v>28</v>
      </c>
      <c r="H54" s="6198" t="s">
        <v>28</v>
      </c>
      <c r="I54" s="6198" t="s">
        <v>881</v>
      </c>
    </row>
    <row customHeight="1" ht="11.25">
      <c r="A55" s="6198" t="s">
        <v>2323</v>
      </c>
      <c r="B55" s="6198" t="s">
        <v>16</v>
      </c>
      <c r="C55" s="6198" t="s">
        <v>2514</v>
      </c>
      <c r="D55" s="6198" t="s">
        <v>2515</v>
      </c>
      <c r="E55" s="6198" t="s">
        <v>2516</v>
      </c>
      <c r="F55" s="6198" t="s">
        <v>2517</v>
      </c>
      <c r="G55" s="6198" t="s">
        <v>28</v>
      </c>
      <c r="H55" s="6198" t="s">
        <v>28</v>
      </c>
      <c r="I55" s="6198" t="s">
        <v>881</v>
      </c>
    </row>
    <row customHeight="1" ht="11.25">
      <c r="A56" s="6198" t="s">
        <v>2323</v>
      </c>
      <c r="B56" s="6198" t="s">
        <v>16</v>
      </c>
      <c r="C56" s="6198" t="s">
        <v>2518</v>
      </c>
      <c r="D56" s="6198" t="s">
        <v>2519</v>
      </c>
      <c r="E56" s="6198" t="s">
        <v>50</v>
      </c>
      <c r="F56" s="6198" t="s">
        <v>2520</v>
      </c>
      <c r="G56" s="6198" t="s">
        <v>28</v>
      </c>
      <c r="H56" s="6198" t="s">
        <v>28</v>
      </c>
      <c r="I56" s="6198" t="s">
        <v>881</v>
      </c>
    </row>
    <row customHeight="1" ht="11.25">
      <c r="A57" s="6198" t="s">
        <v>2323</v>
      </c>
      <c r="B57" s="6198" t="s">
        <v>16</v>
      </c>
      <c r="C57" s="6198" t="s">
        <v>2521</v>
      </c>
      <c r="D57" s="6198" t="s">
        <v>2522</v>
      </c>
      <c r="E57" s="6198" t="s">
        <v>2523</v>
      </c>
      <c r="F57" s="6198" t="s">
        <v>2524</v>
      </c>
      <c r="G57" s="6198" t="s">
        <v>28</v>
      </c>
      <c r="H57" s="6198" t="s">
        <v>28</v>
      </c>
      <c r="I57" s="6198" t="s">
        <v>881</v>
      </c>
    </row>
    <row customHeight="1" ht="11.25">
      <c r="A58" s="6198" t="s">
        <v>2323</v>
      </c>
      <c r="B58" s="6198" t="s">
        <v>16</v>
      </c>
      <c r="C58" s="6198" t="s">
        <v>2525</v>
      </c>
      <c r="D58" s="6198" t="s">
        <v>2526</v>
      </c>
      <c r="E58" s="6198" t="s">
        <v>2527</v>
      </c>
      <c r="F58" s="6198" t="s">
        <v>2524</v>
      </c>
      <c r="G58" s="6198" t="s">
        <v>28</v>
      </c>
      <c r="H58" s="6198" t="s">
        <v>28</v>
      </c>
      <c r="I58" s="6198" t="s">
        <v>881</v>
      </c>
    </row>
    <row customHeight="1" ht="11.25">
      <c r="A59" s="6198" t="s">
        <v>2323</v>
      </c>
      <c r="B59" s="6198" t="s">
        <v>16</v>
      </c>
      <c r="C59" s="6198" t="s">
        <v>2528</v>
      </c>
      <c r="D59" s="6198" t="s">
        <v>2529</v>
      </c>
      <c r="E59" s="6198" t="s">
        <v>2530</v>
      </c>
      <c r="F59" s="6198" t="s">
        <v>2486</v>
      </c>
      <c r="G59" s="6198" t="s">
        <v>28</v>
      </c>
      <c r="H59" s="6198" t="s">
        <v>28</v>
      </c>
      <c r="I59" s="6198" t="s">
        <v>881</v>
      </c>
    </row>
    <row customHeight="1" ht="11.25">
      <c r="A60" s="6198" t="s">
        <v>2323</v>
      </c>
      <c r="B60" s="6198" t="s">
        <v>16</v>
      </c>
      <c r="C60" s="6198" t="s">
        <v>2531</v>
      </c>
      <c r="D60" s="6198" t="s">
        <v>2532</v>
      </c>
      <c r="E60" s="6198" t="s">
        <v>2533</v>
      </c>
      <c r="F60" s="6198" t="s">
        <v>2359</v>
      </c>
      <c r="G60" s="6198" t="s">
        <v>28</v>
      </c>
      <c r="H60" s="6198" t="s">
        <v>28</v>
      </c>
      <c r="I60" s="6198" t="s">
        <v>881</v>
      </c>
    </row>
    <row customHeight="1" ht="11.25">
      <c r="A61" s="6198" t="s">
        <v>2323</v>
      </c>
      <c r="B61" s="6198" t="s">
        <v>16</v>
      </c>
      <c r="C61" s="6198" t="s">
        <v>2534</v>
      </c>
      <c r="D61" s="6198" t="s">
        <v>2535</v>
      </c>
      <c r="E61" s="6198" t="s">
        <v>2417</v>
      </c>
      <c r="F61" s="6198" t="s">
        <v>2536</v>
      </c>
      <c r="G61" s="6198" t="s">
        <v>28</v>
      </c>
      <c r="H61" s="6198" t="s">
        <v>28</v>
      </c>
      <c r="I61" s="6198" t="s">
        <v>881</v>
      </c>
    </row>
    <row customHeight="1" ht="11.25">
      <c r="A62" s="6198" t="s">
        <v>2323</v>
      </c>
      <c r="B62" s="6198" t="s">
        <v>16</v>
      </c>
      <c r="C62" s="6198" t="s">
        <v>2537</v>
      </c>
      <c r="D62" s="6198" t="s">
        <v>2538</v>
      </c>
      <c r="E62" s="6198" t="s">
        <v>2539</v>
      </c>
      <c r="F62" s="6198" t="s">
        <v>2486</v>
      </c>
      <c r="G62" s="6198" t="s">
        <v>28</v>
      </c>
      <c r="H62" s="6198" t="s">
        <v>28</v>
      </c>
      <c r="I62" s="6198" t="s">
        <v>881</v>
      </c>
    </row>
    <row customHeight="1" ht="11.25">
      <c r="A63" s="6198" t="s">
        <v>2323</v>
      </c>
      <c r="B63" s="6198" t="s">
        <v>16</v>
      </c>
      <c r="C63" s="6198" t="s">
        <v>2540</v>
      </c>
      <c r="D63" s="6198" t="s">
        <v>2541</v>
      </c>
      <c r="E63" s="6198" t="s">
        <v>2542</v>
      </c>
      <c r="F63" s="6198" t="s">
        <v>2340</v>
      </c>
      <c r="G63" s="6198" t="s">
        <v>28</v>
      </c>
      <c r="H63" s="6198" t="s">
        <v>28</v>
      </c>
      <c r="I63" s="6198" t="s">
        <v>881</v>
      </c>
    </row>
    <row customHeight="1" ht="11.25">
      <c r="A64" s="6198" t="s">
        <v>2323</v>
      </c>
      <c r="B64" s="6198" t="s">
        <v>16</v>
      </c>
      <c r="C64" s="6198" t="s">
        <v>2543</v>
      </c>
      <c r="D64" s="6198" t="s">
        <v>2544</v>
      </c>
      <c r="E64" s="6198" t="s">
        <v>2545</v>
      </c>
      <c r="F64" s="6198" t="s">
        <v>2371</v>
      </c>
      <c r="G64" s="6198" t="s">
        <v>28</v>
      </c>
      <c r="H64" s="6198" t="s">
        <v>28</v>
      </c>
      <c r="I64" s="6198" t="s">
        <v>881</v>
      </c>
    </row>
    <row customHeight="1" ht="11.25">
      <c r="A65" s="6198" t="s">
        <v>2323</v>
      </c>
      <c r="B65" s="6198" t="s">
        <v>16</v>
      </c>
      <c r="C65" s="6198" t="s">
        <v>2546</v>
      </c>
      <c r="D65" s="6198" t="s">
        <v>2547</v>
      </c>
      <c r="E65" s="6198" t="s">
        <v>2548</v>
      </c>
      <c r="F65" s="6198" t="s">
        <v>2330</v>
      </c>
      <c r="G65" s="6198" t="s">
        <v>28</v>
      </c>
      <c r="H65" s="6198" t="s">
        <v>28</v>
      </c>
      <c r="I65" s="6198" t="s">
        <v>881</v>
      </c>
    </row>
    <row customHeight="1" ht="11.25">
      <c r="A66" s="6198" t="s">
        <v>2323</v>
      </c>
      <c r="B66" s="6198" t="s">
        <v>16</v>
      </c>
      <c r="C66" s="6198" t="s">
        <v>2549</v>
      </c>
      <c r="D66" s="6198" t="s">
        <v>2550</v>
      </c>
      <c r="E66" s="6198" t="s">
        <v>2551</v>
      </c>
      <c r="F66" s="6198" t="s">
        <v>2464</v>
      </c>
      <c r="G66" s="6198" t="s">
        <v>28</v>
      </c>
      <c r="H66" s="6198" t="s">
        <v>28</v>
      </c>
      <c r="I66" s="6198" t="s">
        <v>881</v>
      </c>
    </row>
    <row customHeight="1" ht="11.25">
      <c r="A67" s="6198" t="s">
        <v>2323</v>
      </c>
      <c r="B67" s="6198" t="s">
        <v>16</v>
      </c>
      <c r="C67" s="6198" t="s">
        <v>2552</v>
      </c>
      <c r="D67" s="6198" t="s">
        <v>2553</v>
      </c>
      <c r="E67" s="6198" t="s">
        <v>2554</v>
      </c>
      <c r="F67" s="6198" t="s">
        <v>2555</v>
      </c>
      <c r="G67" s="6198" t="s">
        <v>2556</v>
      </c>
      <c r="H67" s="6198" t="s">
        <v>28</v>
      </c>
      <c r="I67" s="6198" t="s">
        <v>881</v>
      </c>
    </row>
    <row customHeight="1" ht="11.25">
      <c r="A68" s="6198" t="s">
        <v>2323</v>
      </c>
      <c r="B68" s="6198" t="s">
        <v>16</v>
      </c>
      <c r="C68" s="6198" t="s">
        <v>2557</v>
      </c>
      <c r="D68" s="6198" t="s">
        <v>2558</v>
      </c>
      <c r="E68" s="6198" t="s">
        <v>2559</v>
      </c>
      <c r="F68" s="6198" t="s">
        <v>2330</v>
      </c>
      <c r="G68" s="6198" t="s">
        <v>2560</v>
      </c>
      <c r="H68" s="6198" t="s">
        <v>28</v>
      </c>
      <c r="I68" s="6198" t="s">
        <v>881</v>
      </c>
    </row>
    <row customHeight="1" ht="11.25">
      <c r="A69" s="6198" t="s">
        <v>2323</v>
      </c>
      <c r="B69" s="6198" t="s">
        <v>16</v>
      </c>
      <c r="C69" s="6198" t="s">
        <v>2561</v>
      </c>
      <c r="D69" s="6198" t="s">
        <v>2562</v>
      </c>
      <c r="E69" s="6198" t="s">
        <v>2563</v>
      </c>
      <c r="F69" s="6198" t="s">
        <v>2330</v>
      </c>
      <c r="G69" s="6198" t="s">
        <v>2564</v>
      </c>
      <c r="H69" s="6198" t="s">
        <v>28</v>
      </c>
      <c r="I69" s="6198" t="s">
        <v>881</v>
      </c>
    </row>
    <row customHeight="1" ht="11.25">
      <c r="A70" s="6198" t="s">
        <v>2323</v>
      </c>
      <c r="B70" s="6198" t="s">
        <v>16</v>
      </c>
      <c r="C70" s="6198" t="s">
        <v>2565</v>
      </c>
      <c r="D70" s="6198" t="s">
        <v>2566</v>
      </c>
      <c r="E70" s="6198" t="s">
        <v>2567</v>
      </c>
      <c r="F70" s="6198" t="s">
        <v>2568</v>
      </c>
      <c r="G70" s="6198" t="s">
        <v>28</v>
      </c>
      <c r="H70" s="6198" t="s">
        <v>28</v>
      </c>
      <c r="I70" s="6198" t="s">
        <v>881</v>
      </c>
    </row>
    <row customHeight="1" ht="11.25">
      <c r="A71" s="6198" t="s">
        <v>2323</v>
      </c>
      <c r="B71" s="6198" t="s">
        <v>16</v>
      </c>
      <c r="C71" s="6198" t="s">
        <v>2569</v>
      </c>
      <c r="D71" s="6198" t="s">
        <v>2570</v>
      </c>
      <c r="E71" s="6198" t="s">
        <v>2571</v>
      </c>
      <c r="F71" s="6198" t="s">
        <v>2555</v>
      </c>
      <c r="G71" s="6198" t="s">
        <v>28</v>
      </c>
      <c r="H71" s="6198" t="s">
        <v>28</v>
      </c>
      <c r="I71" s="6198" t="s">
        <v>881</v>
      </c>
    </row>
    <row customHeight="1" ht="11.25">
      <c r="A72" s="6198" t="s">
        <v>2323</v>
      </c>
      <c r="B72" s="6198" t="s">
        <v>16</v>
      </c>
      <c r="C72" s="6198" t="s">
        <v>2572</v>
      </c>
      <c r="D72" s="6198" t="s">
        <v>2573</v>
      </c>
      <c r="E72" s="6198" t="s">
        <v>2574</v>
      </c>
      <c r="F72" s="6198" t="s">
        <v>2371</v>
      </c>
      <c r="G72" s="6198" t="s">
        <v>28</v>
      </c>
      <c r="H72" s="6198" t="s">
        <v>28</v>
      </c>
      <c r="I72" s="6198" t="s">
        <v>881</v>
      </c>
    </row>
    <row customHeight="1" ht="11.25">
      <c r="A73" s="6198" t="s">
        <v>2323</v>
      </c>
      <c r="B73" s="6198" t="s">
        <v>16</v>
      </c>
      <c r="C73" s="6198" t="s">
        <v>2575</v>
      </c>
      <c r="D73" s="6198" t="s">
        <v>2576</v>
      </c>
      <c r="E73" s="6198" t="s">
        <v>2577</v>
      </c>
      <c r="F73" s="6198" t="s">
        <v>2555</v>
      </c>
      <c r="G73" s="6198" t="s">
        <v>28</v>
      </c>
      <c r="H73" s="6198" t="s">
        <v>28</v>
      </c>
      <c r="I73" s="6198" t="s">
        <v>881</v>
      </c>
    </row>
    <row customHeight="1" ht="11.25">
      <c r="A74" s="6198" t="s">
        <v>2323</v>
      </c>
      <c r="B74" s="6198" t="s">
        <v>16</v>
      </c>
      <c r="C74" s="6198" t="s">
        <v>2578</v>
      </c>
      <c r="D74" s="6198" t="s">
        <v>2579</v>
      </c>
      <c r="E74" s="6198" t="s">
        <v>2580</v>
      </c>
      <c r="F74" s="6198" t="s">
        <v>2454</v>
      </c>
      <c r="G74" s="6198" t="s">
        <v>2581</v>
      </c>
      <c r="H74" s="6198" t="s">
        <v>28</v>
      </c>
      <c r="I74" s="6198" t="s">
        <v>881</v>
      </c>
    </row>
    <row customHeight="1" ht="11.25">
      <c r="A75" s="6198" t="s">
        <v>2323</v>
      </c>
      <c r="B75" s="6198" t="s">
        <v>16</v>
      </c>
      <c r="C75" s="6198" t="s">
        <v>2582</v>
      </c>
      <c r="D75" s="6198" t="s">
        <v>2583</v>
      </c>
      <c r="E75" s="6198" t="s">
        <v>2584</v>
      </c>
      <c r="F75" s="6198" t="s">
        <v>2585</v>
      </c>
      <c r="G75" s="6198" t="s">
        <v>2586</v>
      </c>
      <c r="H75" s="6198" t="s">
        <v>28</v>
      </c>
      <c r="I75" s="6198" t="s">
        <v>881</v>
      </c>
    </row>
    <row customHeight="1" ht="11.25">
      <c r="A76" s="6198" t="s">
        <v>2323</v>
      </c>
      <c r="B76" s="6198" t="s">
        <v>16</v>
      </c>
      <c r="C76" s="6198" t="s">
        <v>2587</v>
      </c>
      <c r="D76" s="6198" t="s">
        <v>2588</v>
      </c>
      <c r="E76" s="6198" t="s">
        <v>2589</v>
      </c>
      <c r="F76" s="6198" t="s">
        <v>2555</v>
      </c>
      <c r="G76" s="6198" t="s">
        <v>28</v>
      </c>
      <c r="H76" s="6198" t="s">
        <v>28</v>
      </c>
      <c r="I76" s="6198" t="s">
        <v>881</v>
      </c>
    </row>
    <row customHeight="1" ht="11.25">
      <c r="A77" s="6198" t="s">
        <v>2323</v>
      </c>
      <c r="B77" s="6198" t="s">
        <v>16</v>
      </c>
      <c r="C77" s="6198" t="s">
        <v>2590</v>
      </c>
      <c r="D77" s="6198" t="s">
        <v>2591</v>
      </c>
      <c r="E77" s="6198" t="s">
        <v>2592</v>
      </c>
      <c r="F77" s="6198" t="s">
        <v>2555</v>
      </c>
      <c r="G77" s="6198" t="s">
        <v>28</v>
      </c>
      <c r="H77" s="6198" t="s">
        <v>28</v>
      </c>
      <c r="I77" s="6198" t="s">
        <v>881</v>
      </c>
    </row>
    <row customHeight="1" ht="11.25">
      <c r="A78" s="6198" t="s">
        <v>2323</v>
      </c>
      <c r="B78" s="6198" t="s">
        <v>16</v>
      </c>
      <c r="C78" s="6198" t="s">
        <v>2593</v>
      </c>
      <c r="D78" s="6198" t="s">
        <v>2594</v>
      </c>
      <c r="E78" s="6198" t="s">
        <v>2595</v>
      </c>
      <c r="F78" s="6198" t="s">
        <v>2596</v>
      </c>
      <c r="G78" s="6198" t="s">
        <v>28</v>
      </c>
      <c r="H78" s="6198" t="s">
        <v>28</v>
      </c>
      <c r="I78" s="6198" t="s">
        <v>881</v>
      </c>
    </row>
    <row customHeight="1" ht="11.25">
      <c r="A79" s="6198" t="s">
        <v>2323</v>
      </c>
      <c r="B79" s="6198" t="s">
        <v>16</v>
      </c>
      <c r="C79" s="6198" t="s">
        <v>2597</v>
      </c>
      <c r="D79" s="6198" t="s">
        <v>2598</v>
      </c>
      <c r="E79" s="6198" t="s">
        <v>2599</v>
      </c>
      <c r="F79" s="6198" t="s">
        <v>2326</v>
      </c>
      <c r="G79" s="6198" t="s">
        <v>28</v>
      </c>
      <c r="H79" s="6198" t="s">
        <v>28</v>
      </c>
      <c r="I79" s="6198" t="s">
        <v>881</v>
      </c>
    </row>
    <row customHeight="1" ht="11.25">
      <c r="A80" s="6198" t="s">
        <v>2323</v>
      </c>
      <c r="B80" s="6198" t="s">
        <v>16</v>
      </c>
      <c r="C80" s="6198" t="s">
        <v>2600</v>
      </c>
      <c r="D80" s="6198" t="s">
        <v>2601</v>
      </c>
      <c r="E80" s="6198" t="s">
        <v>2602</v>
      </c>
      <c r="F80" s="6198" t="s">
        <v>2359</v>
      </c>
      <c r="G80" s="6198" t="s">
        <v>28</v>
      </c>
      <c r="H80" s="6198" t="s">
        <v>28</v>
      </c>
      <c r="I80" s="6198" t="s">
        <v>881</v>
      </c>
    </row>
    <row customHeight="1" ht="11.25">
      <c r="A81" s="6198" t="s">
        <v>2323</v>
      </c>
      <c r="B81" s="6198" t="s">
        <v>16</v>
      </c>
      <c r="C81" s="6198" t="s">
        <v>2603</v>
      </c>
      <c r="D81" s="6198" t="s">
        <v>2604</v>
      </c>
      <c r="E81" s="6198" t="s">
        <v>2605</v>
      </c>
      <c r="F81" s="6198" t="s">
        <v>2330</v>
      </c>
      <c r="G81" s="6198" t="s">
        <v>28</v>
      </c>
      <c r="H81" s="6198" t="s">
        <v>28</v>
      </c>
      <c r="I81" s="6198" t="s">
        <v>881</v>
      </c>
    </row>
    <row customHeight="1" ht="11.25">
      <c r="A82" s="6198" t="s">
        <v>2323</v>
      </c>
      <c r="B82" s="6198" t="s">
        <v>16</v>
      </c>
      <c r="C82" s="6198" t="s">
        <v>2606</v>
      </c>
      <c r="D82" s="6198" t="s">
        <v>2607</v>
      </c>
      <c r="E82" s="6198" t="s">
        <v>2608</v>
      </c>
      <c r="F82" s="6198" t="s">
        <v>2609</v>
      </c>
      <c r="G82" s="6198" t="s">
        <v>2610</v>
      </c>
      <c r="H82" s="6198" t="s">
        <v>28</v>
      </c>
      <c r="I82" s="6198" t="s">
        <v>881</v>
      </c>
    </row>
    <row customHeight="1" ht="11.25">
      <c r="A83" s="6198" t="s">
        <v>2323</v>
      </c>
      <c r="B83" s="6198" t="s">
        <v>16</v>
      </c>
      <c r="C83" s="6198" t="s">
        <v>2611</v>
      </c>
      <c r="D83" s="6198" t="s">
        <v>2612</v>
      </c>
      <c r="E83" s="6198" t="s">
        <v>2613</v>
      </c>
      <c r="F83" s="6198" t="s">
        <v>2351</v>
      </c>
      <c r="G83" s="6198" t="s">
        <v>2614</v>
      </c>
      <c r="H83" s="6198" t="s">
        <v>28</v>
      </c>
      <c r="I83" s="6198" t="s">
        <v>881</v>
      </c>
    </row>
    <row customHeight="1" ht="11.25">
      <c r="A84" s="6198" t="s">
        <v>2323</v>
      </c>
      <c r="B84" s="6198" t="s">
        <v>16</v>
      </c>
      <c r="C84" s="6198" t="s">
        <v>2615</v>
      </c>
      <c r="D84" s="6198" t="s">
        <v>2616</v>
      </c>
      <c r="E84" s="6198" t="s">
        <v>2617</v>
      </c>
      <c r="F84" s="6198" t="s">
        <v>2596</v>
      </c>
      <c r="G84" s="6198" t="s">
        <v>28</v>
      </c>
      <c r="H84" s="6198" t="s">
        <v>28</v>
      </c>
      <c r="I84" s="6198" t="s">
        <v>881</v>
      </c>
    </row>
    <row customHeight="1" ht="11.25">
      <c r="A85" s="6198" t="s">
        <v>2323</v>
      </c>
      <c r="B85" s="6198" t="s">
        <v>16</v>
      </c>
      <c r="C85" s="6198" t="s">
        <v>2618</v>
      </c>
      <c r="D85" s="6198" t="s">
        <v>2619</v>
      </c>
      <c r="E85" s="6198" t="s">
        <v>2620</v>
      </c>
      <c r="F85" s="6198" t="s">
        <v>2524</v>
      </c>
      <c r="G85" s="6198" t="s">
        <v>2621</v>
      </c>
      <c r="H85" s="6198" t="s">
        <v>28</v>
      </c>
      <c r="I85" s="6198" t="s">
        <v>881</v>
      </c>
    </row>
    <row customHeight="1" ht="11.25">
      <c r="A86" s="6198" t="s">
        <v>2323</v>
      </c>
      <c r="B86" s="6198" t="s">
        <v>16</v>
      </c>
      <c r="C86" s="6198" t="s">
        <v>2622</v>
      </c>
      <c r="D86" s="6198" t="s">
        <v>2623</v>
      </c>
      <c r="E86" s="6198" t="s">
        <v>2624</v>
      </c>
      <c r="F86" s="6198" t="s">
        <v>2380</v>
      </c>
      <c r="G86" s="6198" t="s">
        <v>28</v>
      </c>
      <c r="H86" s="6198" t="s">
        <v>28</v>
      </c>
      <c r="I86" s="6198" t="s">
        <v>881</v>
      </c>
    </row>
    <row customHeight="1" ht="11.25">
      <c r="A87" s="6198" t="s">
        <v>2323</v>
      </c>
      <c r="B87" s="6198" t="s">
        <v>16</v>
      </c>
      <c r="C87" s="6198" t="s">
        <v>2625</v>
      </c>
      <c r="D87" s="6198" t="s">
        <v>2626</v>
      </c>
      <c r="E87" s="6198" t="s">
        <v>2627</v>
      </c>
      <c r="F87" s="6198" t="s">
        <v>2359</v>
      </c>
      <c r="G87" s="6198" t="s">
        <v>28</v>
      </c>
      <c r="H87" s="6198" t="s">
        <v>28</v>
      </c>
      <c r="I87" s="6198" t="s">
        <v>881</v>
      </c>
    </row>
    <row customHeight="1" ht="11.25">
      <c r="A88" s="6198" t="s">
        <v>2323</v>
      </c>
      <c r="B88" s="6198" t="s">
        <v>16</v>
      </c>
      <c r="C88" s="6198" t="s">
        <v>2628</v>
      </c>
      <c r="D88" s="6198" t="s">
        <v>2629</v>
      </c>
      <c r="E88" s="6198" t="s">
        <v>2630</v>
      </c>
      <c r="F88" s="6198" t="s">
        <v>2503</v>
      </c>
      <c r="G88" s="6198" t="s">
        <v>28</v>
      </c>
      <c r="H88" s="6198" t="s">
        <v>28</v>
      </c>
      <c r="I88" s="6198" t="s">
        <v>881</v>
      </c>
    </row>
    <row customHeight="1" ht="11.25">
      <c r="A89" s="6198" t="s">
        <v>2323</v>
      </c>
      <c r="B89" s="6198" t="s">
        <v>16</v>
      </c>
      <c r="C89" s="6198" t="s">
        <v>2631</v>
      </c>
      <c r="D89" s="6198" t="s">
        <v>2632</v>
      </c>
      <c r="E89" s="6198" t="s">
        <v>2633</v>
      </c>
      <c r="F89" s="6198" t="s">
        <v>2330</v>
      </c>
      <c r="G89" s="6198" t="s">
        <v>28</v>
      </c>
      <c r="H89" s="6198" t="s">
        <v>28</v>
      </c>
      <c r="I89" s="6198" t="s">
        <v>881</v>
      </c>
    </row>
    <row customHeight="1" ht="11.25">
      <c r="A90" s="6198" t="s">
        <v>2323</v>
      </c>
      <c r="B90" s="6198" t="s">
        <v>16</v>
      </c>
      <c r="C90" s="6198" t="s">
        <v>2634</v>
      </c>
      <c r="D90" s="6198" t="s">
        <v>2635</v>
      </c>
      <c r="E90" s="6198" t="s">
        <v>2636</v>
      </c>
      <c r="F90" s="6198" t="s">
        <v>2330</v>
      </c>
      <c r="G90" s="6198" t="s">
        <v>28</v>
      </c>
      <c r="H90" s="6198" t="s">
        <v>28</v>
      </c>
      <c r="I90" s="6198" t="s">
        <v>881</v>
      </c>
    </row>
    <row customHeight="1" ht="11.25">
      <c r="A91" s="6198" t="s">
        <v>2323</v>
      </c>
      <c r="B91" s="6198" t="s">
        <v>16</v>
      </c>
      <c r="C91" s="6198" t="s">
        <v>2637</v>
      </c>
      <c r="D91" s="6198" t="s">
        <v>2638</v>
      </c>
      <c r="E91" s="6198" t="s">
        <v>2639</v>
      </c>
      <c r="F91" s="6198" t="s">
        <v>2503</v>
      </c>
      <c r="G91" s="6198" t="s">
        <v>2381</v>
      </c>
      <c r="H91" s="6198" t="s">
        <v>28</v>
      </c>
      <c r="I91" s="6198" t="s">
        <v>881</v>
      </c>
    </row>
    <row customHeight="1" ht="11.25">
      <c r="A92" s="6198" t="s">
        <v>2323</v>
      </c>
      <c r="B92" s="6198" t="s">
        <v>16</v>
      </c>
      <c r="C92" s="6198" t="s">
        <v>2640</v>
      </c>
      <c r="D92" s="6198" t="s">
        <v>2641</v>
      </c>
      <c r="E92" s="6198" t="s">
        <v>2642</v>
      </c>
      <c r="F92" s="6198" t="s">
        <v>2643</v>
      </c>
      <c r="G92" s="6198" t="s">
        <v>28</v>
      </c>
      <c r="H92" s="6198" t="s">
        <v>28</v>
      </c>
      <c r="I92" s="6198" t="s">
        <v>881</v>
      </c>
    </row>
    <row customHeight="1" ht="11.25">
      <c r="A93" s="6198" t="s">
        <v>2323</v>
      </c>
      <c r="B93" s="6198" t="s">
        <v>16</v>
      </c>
      <c r="C93" s="6198" t="s">
        <v>2644</v>
      </c>
      <c r="D93" s="6198" t="s">
        <v>2645</v>
      </c>
      <c r="E93" s="6198" t="s">
        <v>2646</v>
      </c>
      <c r="F93" s="6198" t="s">
        <v>2388</v>
      </c>
      <c r="G93" s="6198" t="s">
        <v>28</v>
      </c>
      <c r="H93" s="6198" t="s">
        <v>28</v>
      </c>
      <c r="I93" s="6198" t="s">
        <v>881</v>
      </c>
    </row>
    <row customHeight="1" ht="11.25">
      <c r="A94" s="6198" t="s">
        <v>2323</v>
      </c>
      <c r="B94" s="6198" t="s">
        <v>16</v>
      </c>
      <c r="C94" s="6198" t="s">
        <v>2647</v>
      </c>
      <c r="D94" s="6198" t="s">
        <v>2648</v>
      </c>
      <c r="E94" s="6198" t="s">
        <v>2649</v>
      </c>
      <c r="F94" s="6198" t="s">
        <v>2650</v>
      </c>
      <c r="G94" s="6198" t="s">
        <v>28</v>
      </c>
      <c r="H94" s="6198" t="s">
        <v>28</v>
      </c>
      <c r="I94" s="6198" t="s">
        <v>881</v>
      </c>
    </row>
    <row customHeight="1" ht="11.25">
      <c r="A95" s="6198" t="s">
        <v>2323</v>
      </c>
      <c r="B95" s="6198" t="s">
        <v>16</v>
      </c>
      <c r="C95" s="6198" t="s">
        <v>2651</v>
      </c>
      <c r="D95" s="6198" t="s">
        <v>2652</v>
      </c>
      <c r="E95" s="6198" t="s">
        <v>2653</v>
      </c>
      <c r="F95" s="6198" t="s">
        <v>2371</v>
      </c>
      <c r="G95" s="6198" t="s">
        <v>28</v>
      </c>
      <c r="H95" s="6198" t="s">
        <v>28</v>
      </c>
      <c r="I95" s="6198" t="s">
        <v>881</v>
      </c>
    </row>
    <row customHeight="1" ht="11.25">
      <c r="A96" s="6198" t="s">
        <v>2323</v>
      </c>
      <c r="B96" s="6198" t="s">
        <v>16</v>
      </c>
      <c r="C96" s="6198" t="s">
        <v>2654</v>
      </c>
      <c r="D96" s="6198" t="s">
        <v>2655</v>
      </c>
      <c r="E96" s="6198" t="s">
        <v>2656</v>
      </c>
      <c r="F96" s="6198" t="s">
        <v>2330</v>
      </c>
      <c r="G96" s="6198" t="s">
        <v>28</v>
      </c>
      <c r="H96" s="6198" t="s">
        <v>28</v>
      </c>
      <c r="I96" s="6198" t="s">
        <v>881</v>
      </c>
    </row>
    <row customHeight="1" ht="11.25">
      <c r="A97" s="6198" t="s">
        <v>2323</v>
      </c>
      <c r="B97" s="6198" t="s">
        <v>16</v>
      </c>
      <c r="C97" s="6198" t="s">
        <v>2657</v>
      </c>
      <c r="D97" s="6198" t="s">
        <v>2658</v>
      </c>
      <c r="E97" s="6198" t="s">
        <v>2659</v>
      </c>
      <c r="F97" s="6198" t="s">
        <v>2388</v>
      </c>
      <c r="G97" s="6198" t="s">
        <v>2660</v>
      </c>
      <c r="H97" s="6198" t="s">
        <v>28</v>
      </c>
      <c r="I97" s="6198" t="s">
        <v>881</v>
      </c>
    </row>
    <row customHeight="1" ht="11.25">
      <c r="A98" s="6198" t="s">
        <v>2323</v>
      </c>
      <c r="B98" s="6198" t="s">
        <v>16</v>
      </c>
      <c r="C98" s="6198" t="s">
        <v>2661</v>
      </c>
      <c r="D98" s="6198" t="s">
        <v>2662</v>
      </c>
      <c r="E98" s="6198" t="s">
        <v>2663</v>
      </c>
      <c r="F98" s="6198" t="s">
        <v>2664</v>
      </c>
      <c r="G98" s="6198" t="s">
        <v>28</v>
      </c>
      <c r="H98" s="6198" t="s">
        <v>28</v>
      </c>
      <c r="I98" s="6198" t="s">
        <v>881</v>
      </c>
    </row>
    <row customHeight="1" ht="11.25">
      <c r="A99" s="6198" t="s">
        <v>2323</v>
      </c>
      <c r="B99" s="6198" t="s">
        <v>16</v>
      </c>
      <c r="C99" s="6198" t="s">
        <v>2665</v>
      </c>
      <c r="D99" s="6198" t="s">
        <v>2666</v>
      </c>
      <c r="E99" s="6198" t="s">
        <v>2667</v>
      </c>
      <c r="F99" s="6198" t="s">
        <v>2326</v>
      </c>
      <c r="G99" s="6198" t="s">
        <v>28</v>
      </c>
      <c r="H99" s="6198" t="s">
        <v>28</v>
      </c>
      <c r="I99" s="6198" t="s">
        <v>881</v>
      </c>
    </row>
    <row customHeight="1" ht="11.25">
      <c r="A100" s="6198" t="s">
        <v>2323</v>
      </c>
      <c r="B100" s="6198" t="s">
        <v>16</v>
      </c>
      <c r="C100" s="6198" t="s">
        <v>2668</v>
      </c>
      <c r="D100" s="6198" t="s">
        <v>2669</v>
      </c>
      <c r="E100" s="6198" t="s">
        <v>2670</v>
      </c>
      <c r="F100" s="6198" t="s">
        <v>2338</v>
      </c>
      <c r="G100" s="6198" t="s">
        <v>28</v>
      </c>
      <c r="H100" s="6198" t="s">
        <v>28</v>
      </c>
      <c r="I100" s="6198" t="s">
        <v>881</v>
      </c>
    </row>
    <row customHeight="1" ht="11.25">
      <c r="A101" s="6198" t="s">
        <v>2323</v>
      </c>
      <c r="B101" s="6198" t="s">
        <v>16</v>
      </c>
      <c r="C101" s="6198" t="s">
        <v>2671</v>
      </c>
      <c r="D101" s="6198" t="s">
        <v>2672</v>
      </c>
      <c r="E101" s="6198" t="s">
        <v>2673</v>
      </c>
      <c r="F101" s="6198" t="s">
        <v>2330</v>
      </c>
      <c r="G101" s="6198" t="s">
        <v>28</v>
      </c>
      <c r="H101" s="6198" t="s">
        <v>28</v>
      </c>
      <c r="I101" s="6198" t="s">
        <v>881</v>
      </c>
    </row>
    <row customHeight="1" ht="11.25">
      <c r="A102" s="6198" t="s">
        <v>2323</v>
      </c>
      <c r="B102" s="6198" t="s">
        <v>16</v>
      </c>
      <c r="C102" s="6198" t="s">
        <v>2674</v>
      </c>
      <c r="D102" s="6198" t="s">
        <v>2675</v>
      </c>
      <c r="E102" s="6198" t="s">
        <v>2676</v>
      </c>
      <c r="F102" s="6198" t="s">
        <v>2677</v>
      </c>
      <c r="G102" s="6198" t="s">
        <v>2678</v>
      </c>
      <c r="H102" s="6198" t="s">
        <v>28</v>
      </c>
      <c r="I102" s="6198" t="s">
        <v>881</v>
      </c>
    </row>
    <row customHeight="1" ht="11.25">
      <c r="A103" s="6198" t="s">
        <v>2323</v>
      </c>
      <c r="B103" s="6198" t="s">
        <v>16</v>
      </c>
      <c r="C103" s="6198" t="s">
        <v>2679</v>
      </c>
      <c r="D103" s="6198" t="s">
        <v>2680</v>
      </c>
      <c r="E103" s="6198" t="s">
        <v>2681</v>
      </c>
      <c r="F103" s="6198" t="s">
        <v>2650</v>
      </c>
      <c r="G103" s="6198" t="s">
        <v>2682</v>
      </c>
      <c r="H103" s="6198" t="s">
        <v>28</v>
      </c>
      <c r="I103" s="6198" t="s">
        <v>881</v>
      </c>
    </row>
    <row customHeight="1" ht="11.25">
      <c r="A104" s="6198" t="s">
        <v>2323</v>
      </c>
      <c r="B104" s="6198" t="s">
        <v>16</v>
      </c>
      <c r="C104" s="6198" t="s">
        <v>2683</v>
      </c>
      <c r="D104" s="6198" t="s">
        <v>2684</v>
      </c>
      <c r="E104" s="6198" t="s">
        <v>2685</v>
      </c>
      <c r="F104" s="6198" t="s">
        <v>2371</v>
      </c>
      <c r="G104" s="6198" t="s">
        <v>2686</v>
      </c>
      <c r="H104" s="6198" t="s">
        <v>28</v>
      </c>
      <c r="I104" s="6198" t="s">
        <v>881</v>
      </c>
    </row>
    <row customHeight="1" ht="11.25">
      <c r="A105" s="6198" t="s">
        <v>2323</v>
      </c>
      <c r="B105" s="6198" t="s">
        <v>16</v>
      </c>
      <c r="C105" s="6198" t="s">
        <v>2687</v>
      </c>
      <c r="D105" s="6198" t="s">
        <v>2688</v>
      </c>
      <c r="E105" s="6198" t="s">
        <v>2689</v>
      </c>
      <c r="F105" s="6198" t="s">
        <v>2690</v>
      </c>
      <c r="G105" s="6198" t="s">
        <v>28</v>
      </c>
      <c r="H105" s="6198" t="s">
        <v>28</v>
      </c>
      <c r="I105" s="6198" t="s">
        <v>881</v>
      </c>
    </row>
    <row customHeight="1" ht="11.25">
      <c r="A106" s="6198" t="s">
        <v>2323</v>
      </c>
      <c r="B106" s="6198" t="s">
        <v>16</v>
      </c>
      <c r="C106" s="6198" t="s">
        <v>2691</v>
      </c>
      <c r="D106" s="6198" t="s">
        <v>2692</v>
      </c>
      <c r="E106" s="6198" t="s">
        <v>2693</v>
      </c>
      <c r="F106" s="6198" t="s">
        <v>2326</v>
      </c>
      <c r="G106" s="6198" t="s">
        <v>28</v>
      </c>
      <c r="H106" s="6198" t="s">
        <v>28</v>
      </c>
      <c r="I106" s="6198" t="s">
        <v>881</v>
      </c>
    </row>
    <row customHeight="1" ht="11.25">
      <c r="A107" s="6198" t="s">
        <v>2323</v>
      </c>
      <c r="B107" s="6198" t="s">
        <v>16</v>
      </c>
      <c r="C107" s="6198" t="s">
        <v>2694</v>
      </c>
      <c r="D107" s="6198" t="s">
        <v>2695</v>
      </c>
      <c r="E107" s="6198" t="s">
        <v>2417</v>
      </c>
      <c r="F107" s="6198" t="s">
        <v>2696</v>
      </c>
      <c r="G107" s="6198" t="s">
        <v>28</v>
      </c>
      <c r="H107" s="6198" t="s">
        <v>28</v>
      </c>
      <c r="I107" s="6198" t="s">
        <v>881</v>
      </c>
    </row>
    <row customHeight="1" ht="11.25">
      <c r="A108" s="6198" t="s">
        <v>2323</v>
      </c>
      <c r="B108" s="6198" t="s">
        <v>16</v>
      </c>
      <c r="C108" s="6198" t="s">
        <v>2697</v>
      </c>
      <c r="D108" s="6198" t="s">
        <v>2698</v>
      </c>
      <c r="E108" s="6198" t="s">
        <v>2699</v>
      </c>
      <c r="F108" s="6198" t="s">
        <v>2524</v>
      </c>
      <c r="G108" s="6198" t="s">
        <v>28</v>
      </c>
      <c r="H108" s="6198" t="s">
        <v>28</v>
      </c>
      <c r="I108" s="6198" t="s">
        <v>881</v>
      </c>
    </row>
    <row customHeight="1" ht="11.25">
      <c r="A109" s="6198" t="s">
        <v>2323</v>
      </c>
      <c r="B109" s="6198" t="s">
        <v>16</v>
      </c>
      <c r="C109" s="6198" t="s">
        <v>2700</v>
      </c>
      <c r="D109" s="6198" t="s">
        <v>2701</v>
      </c>
      <c r="E109" s="6198" t="s">
        <v>2702</v>
      </c>
      <c r="F109" s="6198" t="s">
        <v>2703</v>
      </c>
      <c r="G109" s="6198" t="s">
        <v>2704</v>
      </c>
      <c r="H109" s="6198" t="s">
        <v>28</v>
      </c>
      <c r="I109" s="6198" t="s">
        <v>881</v>
      </c>
    </row>
    <row customHeight="1" ht="11.25">
      <c r="A110" s="6198" t="s">
        <v>2323</v>
      </c>
      <c r="B110" s="6198" t="s">
        <v>16</v>
      </c>
      <c r="C110" s="6198" t="s">
        <v>2705</v>
      </c>
      <c r="D110" s="6198" t="s">
        <v>2706</v>
      </c>
      <c r="E110" s="6198" t="s">
        <v>2707</v>
      </c>
      <c r="F110" s="6198" t="s">
        <v>2524</v>
      </c>
      <c r="G110" s="6198" t="s">
        <v>28</v>
      </c>
      <c r="H110" s="6198" t="s">
        <v>28</v>
      </c>
      <c r="I110" s="6198" t="s">
        <v>881</v>
      </c>
    </row>
    <row customHeight="1" ht="11.25">
      <c r="A111" s="6198" t="s">
        <v>2323</v>
      </c>
      <c r="B111" s="6198" t="s">
        <v>16</v>
      </c>
      <c r="C111" s="6198" t="s">
        <v>2708</v>
      </c>
      <c r="D111" s="6198" t="s">
        <v>2709</v>
      </c>
      <c r="E111" s="6198" t="s">
        <v>2710</v>
      </c>
      <c r="F111" s="6198" t="s">
        <v>2464</v>
      </c>
      <c r="G111" s="6198" t="s">
        <v>28</v>
      </c>
      <c r="H111" s="6198" t="s">
        <v>28</v>
      </c>
      <c r="I111" s="6198" t="s">
        <v>881</v>
      </c>
    </row>
    <row customHeight="1" ht="11.25">
      <c r="A112" s="6198" t="s">
        <v>2323</v>
      </c>
      <c r="B112" s="6198" t="s">
        <v>16</v>
      </c>
      <c r="C112" s="6198" t="s">
        <v>2711</v>
      </c>
      <c r="D112" s="6198" t="s">
        <v>2712</v>
      </c>
      <c r="E112" s="6198" t="s">
        <v>2713</v>
      </c>
      <c r="F112" s="6198" t="s">
        <v>2454</v>
      </c>
      <c r="G112" s="6198" t="s">
        <v>28</v>
      </c>
      <c r="H112" s="6198" t="s">
        <v>28</v>
      </c>
      <c r="I112" s="6198" t="s">
        <v>881</v>
      </c>
    </row>
    <row customHeight="1" ht="11.25">
      <c r="A113" s="6198" t="s">
        <v>2323</v>
      </c>
      <c r="B113" s="6198" t="s">
        <v>16</v>
      </c>
      <c r="C113" s="6198" t="s">
        <v>2714</v>
      </c>
      <c r="D113" s="6198" t="s">
        <v>2715</v>
      </c>
      <c r="E113" s="6198" t="s">
        <v>2716</v>
      </c>
      <c r="F113" s="6198" t="s">
        <v>2334</v>
      </c>
      <c r="G113" s="6198" t="s">
        <v>28</v>
      </c>
      <c r="H113" s="6198" t="s">
        <v>28</v>
      </c>
      <c r="I113" s="6198" t="s">
        <v>881</v>
      </c>
    </row>
    <row customHeight="1" ht="11.25">
      <c r="A114" s="6198" t="s">
        <v>2323</v>
      </c>
      <c r="B114" s="6198" t="s">
        <v>16</v>
      </c>
      <c r="C114" s="6198" t="s">
        <v>2717</v>
      </c>
      <c r="D114" s="6198" t="s">
        <v>2718</v>
      </c>
      <c r="E114" s="6198" t="s">
        <v>2719</v>
      </c>
      <c r="F114" s="6198" t="s">
        <v>2720</v>
      </c>
      <c r="G114" s="6198" t="s">
        <v>28</v>
      </c>
      <c r="H114" s="6198" t="s">
        <v>28</v>
      </c>
      <c r="I114" s="6198" t="s">
        <v>881</v>
      </c>
    </row>
    <row customHeight="1" ht="11.25">
      <c r="A115" s="6198" t="s">
        <v>2323</v>
      </c>
      <c r="B115" s="6198" t="s">
        <v>16</v>
      </c>
      <c r="C115" s="6198" t="s">
        <v>2721</v>
      </c>
      <c r="D115" s="6198" t="s">
        <v>2722</v>
      </c>
      <c r="E115" s="6198" t="s">
        <v>2723</v>
      </c>
      <c r="F115" s="6198" t="s">
        <v>2380</v>
      </c>
      <c r="G115" s="6198" t="s">
        <v>28</v>
      </c>
      <c r="H115" s="6198" t="s">
        <v>28</v>
      </c>
      <c r="I115" s="6198" t="s">
        <v>881</v>
      </c>
    </row>
    <row customHeight="1" ht="11.25">
      <c r="A116" s="6198" t="s">
        <v>2323</v>
      </c>
      <c r="B116" s="6198" t="s">
        <v>16</v>
      </c>
      <c r="C116" s="6198" t="s">
        <v>2724</v>
      </c>
      <c r="D116" s="6198" t="s">
        <v>2725</v>
      </c>
      <c r="E116" s="6198" t="s">
        <v>2726</v>
      </c>
      <c r="F116" s="6198" t="s">
        <v>2359</v>
      </c>
      <c r="G116" s="6198" t="s">
        <v>28</v>
      </c>
      <c r="H116" s="6198" t="s">
        <v>28</v>
      </c>
      <c r="I116" s="6198" t="s">
        <v>881</v>
      </c>
    </row>
    <row customHeight="1" ht="11.25">
      <c r="A117" s="6198" t="s">
        <v>2323</v>
      </c>
      <c r="B117" s="6198" t="s">
        <v>16</v>
      </c>
      <c r="C117" s="6198" t="s">
        <v>2727</v>
      </c>
      <c r="D117" s="6198" t="s">
        <v>2728</v>
      </c>
      <c r="E117" s="6198" t="s">
        <v>2729</v>
      </c>
      <c r="F117" s="6198" t="s">
        <v>2464</v>
      </c>
      <c r="G117" s="6198" t="s">
        <v>28</v>
      </c>
      <c r="H117" s="6198" t="s">
        <v>28</v>
      </c>
      <c r="I117" s="6198" t="s">
        <v>881</v>
      </c>
    </row>
    <row customHeight="1" ht="11.25">
      <c r="A118" s="6198" t="s">
        <v>2323</v>
      </c>
      <c r="B118" s="6198" t="s">
        <v>16</v>
      </c>
      <c r="C118" s="6198" t="s">
        <v>2730</v>
      </c>
      <c r="D118" s="6198" t="s">
        <v>2731</v>
      </c>
      <c r="E118" s="6198" t="s">
        <v>2732</v>
      </c>
      <c r="F118" s="6198" t="s">
        <v>2359</v>
      </c>
      <c r="G118" s="6198" t="s">
        <v>28</v>
      </c>
      <c r="H118" s="6198" t="s">
        <v>28</v>
      </c>
      <c r="I118" s="6198" t="s">
        <v>881</v>
      </c>
    </row>
    <row customHeight="1" ht="11.25">
      <c r="A119" s="6198" t="s">
        <v>2323</v>
      </c>
      <c r="B119" s="6198" t="s">
        <v>16</v>
      </c>
      <c r="C119" s="6198" t="s">
        <v>2733</v>
      </c>
      <c r="D119" s="6198" t="s">
        <v>2734</v>
      </c>
      <c r="E119" s="6198" t="s">
        <v>2735</v>
      </c>
      <c r="F119" s="6198" t="s">
        <v>2359</v>
      </c>
      <c r="G119" s="6198" t="s">
        <v>28</v>
      </c>
      <c r="H119" s="6198" t="s">
        <v>28</v>
      </c>
      <c r="I119" s="6198" t="s">
        <v>881</v>
      </c>
    </row>
    <row customHeight="1" ht="11.25">
      <c r="A120" s="6198" t="s">
        <v>2323</v>
      </c>
      <c r="B120" s="6198" t="s">
        <v>16</v>
      </c>
      <c r="C120" s="6198" t="s">
        <v>2736</v>
      </c>
      <c r="D120" s="6198" t="s">
        <v>2737</v>
      </c>
      <c r="E120" s="6198" t="s">
        <v>2738</v>
      </c>
      <c r="F120" s="6198" t="s">
        <v>2524</v>
      </c>
      <c r="G120" s="6198" t="s">
        <v>28</v>
      </c>
      <c r="H120" s="6198" t="s">
        <v>28</v>
      </c>
      <c r="I120" s="6198" t="s">
        <v>881</v>
      </c>
    </row>
    <row customHeight="1" ht="11.25">
      <c r="A121" s="6198" t="s">
        <v>2323</v>
      </c>
      <c r="B121" s="6198" t="s">
        <v>16</v>
      </c>
      <c r="C121" s="6198" t="s">
        <v>2739</v>
      </c>
      <c r="D121" s="6198" t="s">
        <v>2740</v>
      </c>
      <c r="E121" s="6198" t="s">
        <v>2741</v>
      </c>
      <c r="F121" s="6198" t="s">
        <v>2742</v>
      </c>
      <c r="G121" s="6198" t="s">
        <v>28</v>
      </c>
      <c r="H121" s="6198" t="s">
        <v>28</v>
      </c>
      <c r="I121" s="6198" t="s">
        <v>881</v>
      </c>
    </row>
    <row customHeight="1" ht="11.25">
      <c r="A122" s="6198" t="s">
        <v>2323</v>
      </c>
      <c r="B122" s="6198" t="s">
        <v>16</v>
      </c>
      <c r="C122" s="6198" t="s">
        <v>2743</v>
      </c>
      <c r="D122" s="6198" t="s">
        <v>2744</v>
      </c>
      <c r="E122" s="6198" t="s">
        <v>2745</v>
      </c>
      <c r="F122" s="6198" t="s">
        <v>2746</v>
      </c>
      <c r="G122" s="6198" t="s">
        <v>28</v>
      </c>
      <c r="H122" s="6198" t="s">
        <v>28</v>
      </c>
      <c r="I122" s="6198" t="s">
        <v>881</v>
      </c>
    </row>
    <row customHeight="1" ht="11.25">
      <c r="A123" s="6198" t="s">
        <v>2323</v>
      </c>
      <c r="B123" s="6198" t="s">
        <v>16</v>
      </c>
      <c r="C123" s="6198" t="s">
        <v>2747</v>
      </c>
      <c r="D123" s="6198" t="s">
        <v>2748</v>
      </c>
      <c r="E123" s="6198" t="s">
        <v>2749</v>
      </c>
      <c r="F123" s="6198" t="s">
        <v>2351</v>
      </c>
      <c r="G123" s="6198" t="s">
        <v>28</v>
      </c>
      <c r="H123" s="6198" t="s">
        <v>28</v>
      </c>
      <c r="I123" s="6198" t="s">
        <v>881</v>
      </c>
    </row>
    <row customHeight="1" ht="11.25">
      <c r="A124" s="6198" t="s">
        <v>2323</v>
      </c>
      <c r="B124" s="6198" t="s">
        <v>16</v>
      </c>
      <c r="C124" s="6198" t="s">
        <v>2750</v>
      </c>
      <c r="D124" s="6198" t="s">
        <v>2751</v>
      </c>
      <c r="E124" s="6198" t="s">
        <v>2752</v>
      </c>
      <c r="F124" s="6198" t="s">
        <v>2355</v>
      </c>
      <c r="G124" s="6198" t="s">
        <v>28</v>
      </c>
      <c r="H124" s="6198" t="s">
        <v>28</v>
      </c>
      <c r="I124" s="6198" t="s">
        <v>881</v>
      </c>
    </row>
    <row customHeight="1" ht="11.25">
      <c r="A125" s="6198" t="s">
        <v>2323</v>
      </c>
      <c r="B125" s="6198" t="s">
        <v>16</v>
      </c>
      <c r="C125" s="6198" t="s">
        <v>28</v>
      </c>
      <c r="D125" s="6198" t="s">
        <v>2324</v>
      </c>
      <c r="E125" s="6198" t="s">
        <v>2325</v>
      </c>
      <c r="F125" s="6198" t="s">
        <v>2326</v>
      </c>
      <c r="G125" s="6198" t="s">
        <v>28</v>
      </c>
      <c r="H125" s="6198" t="s">
        <v>28</v>
      </c>
      <c r="I125" s="6198" t="s">
        <v>967</v>
      </c>
    </row>
    <row customHeight="1" ht="11.25">
      <c r="A126" s="6198" t="s">
        <v>2323</v>
      </c>
      <c r="B126" s="6198" t="s">
        <v>16</v>
      </c>
      <c r="C126" s="6198" t="s">
        <v>2335</v>
      </c>
      <c r="D126" s="6198" t="s">
        <v>2336</v>
      </c>
      <c r="E126" s="6198" t="s">
        <v>2337</v>
      </c>
      <c r="F126" s="6198" t="s">
        <v>2338</v>
      </c>
      <c r="G126" s="6198" t="s">
        <v>28</v>
      </c>
      <c r="H126" s="6198" t="s">
        <v>28</v>
      </c>
      <c r="I126" s="6198" t="s">
        <v>967</v>
      </c>
    </row>
    <row customHeight="1" ht="11.25">
      <c r="A127" s="6198" t="s">
        <v>2323</v>
      </c>
      <c r="B127" s="6198" t="s">
        <v>16</v>
      </c>
      <c r="C127" s="6198" t="s">
        <v>13</v>
      </c>
      <c r="D127" s="6198" t="s">
        <v>47</v>
      </c>
      <c r="E127" s="6198" t="s">
        <v>50</v>
      </c>
      <c r="F127" s="6198" t="s">
        <v>52</v>
      </c>
      <c r="G127" s="6198" t="s">
        <v>28</v>
      </c>
      <c r="H127" s="6198" t="s">
        <v>28</v>
      </c>
      <c r="I127" s="6198" t="s">
        <v>967</v>
      </c>
    </row>
    <row customHeight="1" ht="11.25">
      <c r="A128" s="6198" t="s">
        <v>2323</v>
      </c>
      <c r="B128" s="6198" t="s">
        <v>16</v>
      </c>
      <c r="C128" s="6198" t="s">
        <v>2342</v>
      </c>
      <c r="D128" s="6198" t="s">
        <v>2343</v>
      </c>
      <c r="E128" s="6198" t="s">
        <v>50</v>
      </c>
      <c r="F128" s="6198" t="s">
        <v>2344</v>
      </c>
      <c r="G128" s="6198" t="s">
        <v>28</v>
      </c>
      <c r="H128" s="6198" t="s">
        <v>28</v>
      </c>
      <c r="I128" s="6198" t="s">
        <v>967</v>
      </c>
    </row>
    <row customHeight="1" ht="11.25">
      <c r="A129" s="6198" t="s">
        <v>2323</v>
      </c>
      <c r="B129" s="6198" t="s">
        <v>16</v>
      </c>
      <c r="C129" s="6198" t="s">
        <v>2345</v>
      </c>
      <c r="D129" s="6198" t="s">
        <v>2346</v>
      </c>
      <c r="E129" s="6198" t="s">
        <v>50</v>
      </c>
      <c r="F129" s="6198" t="s">
        <v>2347</v>
      </c>
      <c r="G129" s="6198" t="s">
        <v>28</v>
      </c>
      <c r="H129" s="6198" t="s">
        <v>28</v>
      </c>
      <c r="I129" s="6198" t="s">
        <v>967</v>
      </c>
    </row>
    <row customHeight="1" ht="11.25">
      <c r="A130" s="6198" t="s">
        <v>2323</v>
      </c>
      <c r="B130" s="6198" t="s">
        <v>16</v>
      </c>
      <c r="C130" s="6198" t="s">
        <v>2352</v>
      </c>
      <c r="D130" s="6198" t="s">
        <v>2353</v>
      </c>
      <c r="E130" s="6198" t="s">
        <v>2354</v>
      </c>
      <c r="F130" s="6198" t="s">
        <v>2355</v>
      </c>
      <c r="G130" s="6198" t="s">
        <v>28</v>
      </c>
      <c r="H130" s="6198" t="s">
        <v>28</v>
      </c>
      <c r="I130" s="6198" t="s">
        <v>967</v>
      </c>
    </row>
    <row customHeight="1" ht="11.25">
      <c r="A131" s="6198" t="s">
        <v>2323</v>
      </c>
      <c r="B131" s="6198" t="s">
        <v>16</v>
      </c>
      <c r="C131" s="6198" t="s">
        <v>2360</v>
      </c>
      <c r="D131" s="6198" t="s">
        <v>2361</v>
      </c>
      <c r="E131" s="6198" t="s">
        <v>2362</v>
      </c>
      <c r="F131" s="6198" t="s">
        <v>2363</v>
      </c>
      <c r="G131" s="6198" t="s">
        <v>2364</v>
      </c>
      <c r="H131" s="6198" t="s">
        <v>28</v>
      </c>
      <c r="I131" s="6198" t="s">
        <v>967</v>
      </c>
    </row>
    <row customHeight="1" ht="11.25">
      <c r="A132" s="6198" t="s">
        <v>2323</v>
      </c>
      <c r="B132" s="6198" t="s">
        <v>16</v>
      </c>
      <c r="C132" s="6198" t="s">
        <v>2377</v>
      </c>
      <c r="D132" s="6198" t="s">
        <v>2378</v>
      </c>
      <c r="E132" s="6198" t="s">
        <v>2379</v>
      </c>
      <c r="F132" s="6198" t="s">
        <v>2380</v>
      </c>
      <c r="G132" s="6198" t="s">
        <v>2381</v>
      </c>
      <c r="H132" s="6198" t="s">
        <v>28</v>
      </c>
      <c r="I132" s="6198" t="s">
        <v>967</v>
      </c>
    </row>
    <row customHeight="1" ht="11.25">
      <c r="A133" s="6198" t="s">
        <v>2323</v>
      </c>
      <c r="B133" s="6198" t="s">
        <v>16</v>
      </c>
      <c r="C133" s="6198" t="s">
        <v>2382</v>
      </c>
      <c r="D133" s="6198" t="s">
        <v>2383</v>
      </c>
      <c r="E133" s="6198" t="s">
        <v>2384</v>
      </c>
      <c r="F133" s="6198" t="s">
        <v>2351</v>
      </c>
      <c r="G133" s="6198" t="s">
        <v>28</v>
      </c>
      <c r="H133" s="6198" t="s">
        <v>28</v>
      </c>
      <c r="I133" s="6198" t="s">
        <v>967</v>
      </c>
    </row>
    <row customHeight="1" ht="11.25">
      <c r="A134" s="6198" t="s">
        <v>2323</v>
      </c>
      <c r="B134" s="6198" t="s">
        <v>16</v>
      </c>
      <c r="C134" s="6198" t="s">
        <v>2389</v>
      </c>
      <c r="D134" s="6198" t="s">
        <v>2390</v>
      </c>
      <c r="E134" s="6198" t="s">
        <v>2391</v>
      </c>
      <c r="F134" s="6198" t="s">
        <v>2359</v>
      </c>
      <c r="G134" s="6198" t="s">
        <v>2392</v>
      </c>
      <c r="H134" s="6198" t="s">
        <v>28</v>
      </c>
      <c r="I134" s="6198" t="s">
        <v>967</v>
      </c>
    </row>
    <row customHeight="1" ht="11.25">
      <c r="A135" s="6198" t="s">
        <v>2323</v>
      </c>
      <c r="B135" s="6198" t="s">
        <v>16</v>
      </c>
      <c r="C135" s="6198" t="s">
        <v>2401</v>
      </c>
      <c r="D135" s="6198" t="s">
        <v>2402</v>
      </c>
      <c r="E135" s="6198" t="s">
        <v>2403</v>
      </c>
      <c r="F135" s="6198" t="s">
        <v>2404</v>
      </c>
      <c r="G135" s="6198" t="s">
        <v>28</v>
      </c>
      <c r="H135" s="6198" t="s">
        <v>28</v>
      </c>
      <c r="I135" s="6198" t="s">
        <v>967</v>
      </c>
    </row>
    <row customHeight="1" ht="11.25">
      <c r="A136" s="6198" t="s">
        <v>2323</v>
      </c>
      <c r="B136" s="6198" t="s">
        <v>16</v>
      </c>
      <c r="C136" s="6198" t="s">
        <v>2419</v>
      </c>
      <c r="D136" s="6198" t="s">
        <v>2420</v>
      </c>
      <c r="E136" s="6198" t="s">
        <v>2417</v>
      </c>
      <c r="F136" s="6198" t="s">
        <v>2421</v>
      </c>
      <c r="G136" s="6198" t="s">
        <v>28</v>
      </c>
      <c r="H136" s="6198" t="s">
        <v>28</v>
      </c>
      <c r="I136" s="6198" t="s">
        <v>967</v>
      </c>
    </row>
    <row customHeight="1" ht="11.25">
      <c r="A137" s="6198" t="s">
        <v>2323</v>
      </c>
      <c r="B137" s="6198" t="s">
        <v>16</v>
      </c>
      <c r="C137" s="6198" t="s">
        <v>2753</v>
      </c>
      <c r="D137" s="6198" t="s">
        <v>2466</v>
      </c>
      <c r="E137" s="6198" t="s">
        <v>2467</v>
      </c>
      <c r="F137" s="6198" t="s">
        <v>2754</v>
      </c>
      <c r="G137" s="6198" t="s">
        <v>28</v>
      </c>
      <c r="H137" s="6198" t="s">
        <v>28</v>
      </c>
      <c r="I137" s="6198" t="s">
        <v>967</v>
      </c>
    </row>
    <row customHeight="1" ht="11.25">
      <c r="A138" s="6198" t="s">
        <v>2323</v>
      </c>
      <c r="B138" s="6198" t="s">
        <v>16</v>
      </c>
      <c r="C138" s="6198" t="s">
        <v>2755</v>
      </c>
      <c r="D138" s="6198" t="s">
        <v>2466</v>
      </c>
      <c r="E138" s="6198" t="s">
        <v>2467</v>
      </c>
      <c r="F138" s="6198" t="s">
        <v>2756</v>
      </c>
      <c r="G138" s="6198" t="s">
        <v>28</v>
      </c>
      <c r="H138" s="6198" t="s">
        <v>28</v>
      </c>
      <c r="I138" s="6198" t="s">
        <v>967</v>
      </c>
    </row>
    <row customHeight="1" ht="11.25">
      <c r="A139" s="6198" t="s">
        <v>2323</v>
      </c>
      <c r="B139" s="6198" t="s">
        <v>16</v>
      </c>
      <c r="C139" s="6198" t="s">
        <v>2757</v>
      </c>
      <c r="D139" s="6198" t="s">
        <v>2466</v>
      </c>
      <c r="E139" s="6198" t="s">
        <v>2467</v>
      </c>
      <c r="F139" s="6198" t="s">
        <v>2758</v>
      </c>
      <c r="G139" s="6198" t="s">
        <v>28</v>
      </c>
      <c r="H139" s="6198" t="s">
        <v>28</v>
      </c>
      <c r="I139" s="6198" t="s">
        <v>967</v>
      </c>
    </row>
    <row customHeight="1" ht="11.25">
      <c r="A140" s="6198" t="s">
        <v>2323</v>
      </c>
      <c r="B140" s="6198" t="s">
        <v>16</v>
      </c>
      <c r="C140" s="6198" t="s">
        <v>2759</v>
      </c>
      <c r="D140" s="6198" t="s">
        <v>2466</v>
      </c>
      <c r="E140" s="6198" t="s">
        <v>2467</v>
      </c>
      <c r="F140" s="6198" t="s">
        <v>2760</v>
      </c>
      <c r="G140" s="6198" t="s">
        <v>28</v>
      </c>
      <c r="H140" s="6198" t="s">
        <v>28</v>
      </c>
      <c r="I140" s="6198" t="s">
        <v>967</v>
      </c>
    </row>
    <row customHeight="1" ht="11.25">
      <c r="A141" s="6198" t="s">
        <v>2323</v>
      </c>
      <c r="B141" s="6198" t="s">
        <v>16</v>
      </c>
      <c r="C141" s="6198" t="s">
        <v>2761</v>
      </c>
      <c r="D141" s="6198" t="s">
        <v>2466</v>
      </c>
      <c r="E141" s="6198" t="s">
        <v>2467</v>
      </c>
      <c r="F141" s="6198" t="s">
        <v>2762</v>
      </c>
      <c r="G141" s="6198" t="s">
        <v>28</v>
      </c>
      <c r="H141" s="6198" t="s">
        <v>28</v>
      </c>
      <c r="I141" s="6198" t="s">
        <v>967</v>
      </c>
    </row>
    <row customHeight="1" ht="11.25">
      <c r="A142" s="6198" t="s">
        <v>2323</v>
      </c>
      <c r="B142" s="6198" t="s">
        <v>16</v>
      </c>
      <c r="C142" s="6198" t="s">
        <v>2763</v>
      </c>
      <c r="D142" s="6198" t="s">
        <v>2466</v>
      </c>
      <c r="E142" s="6198" t="s">
        <v>2467</v>
      </c>
      <c r="F142" s="6198" t="s">
        <v>2764</v>
      </c>
      <c r="G142" s="6198" t="s">
        <v>28</v>
      </c>
      <c r="H142" s="6198" t="s">
        <v>28</v>
      </c>
      <c r="I142" s="6198" t="s">
        <v>967</v>
      </c>
    </row>
    <row customHeight="1" ht="11.25">
      <c r="A143" s="6198" t="s">
        <v>2323</v>
      </c>
      <c r="B143" s="6198" t="s">
        <v>16</v>
      </c>
      <c r="C143" s="6198" t="s">
        <v>2765</v>
      </c>
      <c r="D143" s="6198" t="s">
        <v>2466</v>
      </c>
      <c r="E143" s="6198" t="s">
        <v>2467</v>
      </c>
      <c r="F143" s="6198" t="s">
        <v>2766</v>
      </c>
      <c r="G143" s="6198" t="s">
        <v>28</v>
      </c>
      <c r="H143" s="6198" t="s">
        <v>28</v>
      </c>
      <c r="I143" s="6198" t="s">
        <v>967</v>
      </c>
    </row>
    <row customHeight="1" ht="11.25">
      <c r="A144" s="6198" t="s">
        <v>2323</v>
      </c>
      <c r="B144" s="6198" t="s">
        <v>16</v>
      </c>
      <c r="C144" s="6198" t="s">
        <v>2767</v>
      </c>
      <c r="D144" s="6198" t="s">
        <v>2466</v>
      </c>
      <c r="E144" s="6198" t="s">
        <v>2467</v>
      </c>
      <c r="F144" s="6198" t="s">
        <v>2768</v>
      </c>
      <c r="G144" s="6198" t="s">
        <v>28</v>
      </c>
      <c r="H144" s="6198" t="s">
        <v>28</v>
      </c>
      <c r="I144" s="6198" t="s">
        <v>967</v>
      </c>
    </row>
    <row customHeight="1" ht="11.25">
      <c r="A145" s="6198" t="s">
        <v>2323</v>
      </c>
      <c r="B145" s="6198" t="s">
        <v>16</v>
      </c>
      <c r="C145" s="6198" t="s">
        <v>2465</v>
      </c>
      <c r="D145" s="6198" t="s">
        <v>2466</v>
      </c>
      <c r="E145" s="6198" t="s">
        <v>2467</v>
      </c>
      <c r="F145" s="6198" t="s">
        <v>2464</v>
      </c>
      <c r="G145" s="6198" t="s">
        <v>28</v>
      </c>
      <c r="H145" s="6198" t="s">
        <v>28</v>
      </c>
      <c r="I145" s="6198" t="s">
        <v>967</v>
      </c>
    </row>
    <row customHeight="1" ht="11.25">
      <c r="A146" s="6198" t="s">
        <v>2323</v>
      </c>
      <c r="B146" s="6198" t="s">
        <v>16</v>
      </c>
      <c r="C146" s="6198" t="s">
        <v>2769</v>
      </c>
      <c r="D146" s="6198" t="s">
        <v>2770</v>
      </c>
      <c r="E146" s="6198" t="s">
        <v>2467</v>
      </c>
      <c r="F146" s="6198" t="s">
        <v>2771</v>
      </c>
      <c r="G146" s="6198" t="s">
        <v>28</v>
      </c>
      <c r="H146" s="6198" t="s">
        <v>28</v>
      </c>
      <c r="I146" s="6198" t="s">
        <v>967</v>
      </c>
    </row>
    <row customHeight="1" ht="11.25">
      <c r="A147" s="6198" t="s">
        <v>2323</v>
      </c>
      <c r="B147" s="6198" t="s">
        <v>16</v>
      </c>
      <c r="C147" s="6198" t="s">
        <v>2476</v>
      </c>
      <c r="D147" s="6198" t="s">
        <v>2477</v>
      </c>
      <c r="E147" s="6198" t="s">
        <v>2478</v>
      </c>
      <c r="F147" s="6198" t="s">
        <v>2351</v>
      </c>
      <c r="G147" s="6198" t="s">
        <v>28</v>
      </c>
      <c r="H147" s="6198" t="s">
        <v>28</v>
      </c>
      <c r="I147" s="6198" t="s">
        <v>967</v>
      </c>
    </row>
    <row customHeight="1" ht="11.25">
      <c r="A148" s="6198" t="s">
        <v>2323</v>
      </c>
      <c r="B148" s="6198" t="s">
        <v>16</v>
      </c>
      <c r="C148" s="6198" t="s">
        <v>2483</v>
      </c>
      <c r="D148" s="6198" t="s">
        <v>2484</v>
      </c>
      <c r="E148" s="6198" t="s">
        <v>2485</v>
      </c>
      <c r="F148" s="6198" t="s">
        <v>2486</v>
      </c>
      <c r="G148" s="6198" t="s">
        <v>28</v>
      </c>
      <c r="H148" s="6198" t="s">
        <v>28</v>
      </c>
      <c r="I148" s="6198" t="s">
        <v>967</v>
      </c>
    </row>
    <row customHeight="1" ht="11.25">
      <c r="A149" s="6198" t="s">
        <v>2323</v>
      </c>
      <c r="B149" s="6198" t="s">
        <v>16</v>
      </c>
      <c r="C149" s="6198" t="s">
        <v>2504</v>
      </c>
      <c r="D149" s="6198" t="s">
        <v>2505</v>
      </c>
      <c r="E149" s="6198" t="s">
        <v>2506</v>
      </c>
      <c r="F149" s="6198" t="s">
        <v>2464</v>
      </c>
      <c r="G149" s="6198" t="s">
        <v>28</v>
      </c>
      <c r="H149" s="6198" t="s">
        <v>28</v>
      </c>
      <c r="I149" s="6198" t="s">
        <v>967</v>
      </c>
    </row>
    <row customHeight="1" ht="11.25">
      <c r="A150" s="6198" t="s">
        <v>2323</v>
      </c>
      <c r="B150" s="6198" t="s">
        <v>16</v>
      </c>
      <c r="C150" s="6198" t="s">
        <v>2531</v>
      </c>
      <c r="D150" s="6198" t="s">
        <v>2532</v>
      </c>
      <c r="E150" s="6198" t="s">
        <v>2533</v>
      </c>
      <c r="F150" s="6198" t="s">
        <v>2359</v>
      </c>
      <c r="G150" s="6198" t="s">
        <v>28</v>
      </c>
      <c r="H150" s="6198" t="s">
        <v>28</v>
      </c>
      <c r="I150" s="6198" t="s">
        <v>967</v>
      </c>
    </row>
    <row customHeight="1" ht="11.25">
      <c r="A151" s="6198" t="s">
        <v>2323</v>
      </c>
      <c r="B151" s="6198" t="s">
        <v>16</v>
      </c>
      <c r="C151" s="6198" t="s">
        <v>2534</v>
      </c>
      <c r="D151" s="6198" t="s">
        <v>2535</v>
      </c>
      <c r="E151" s="6198" t="s">
        <v>2417</v>
      </c>
      <c r="F151" s="6198" t="s">
        <v>2536</v>
      </c>
      <c r="G151" s="6198" t="s">
        <v>28</v>
      </c>
      <c r="H151" s="6198" t="s">
        <v>28</v>
      </c>
      <c r="I151" s="6198" t="s">
        <v>967</v>
      </c>
    </row>
    <row customHeight="1" ht="11.25">
      <c r="A152" s="6198" t="s">
        <v>2323</v>
      </c>
      <c r="B152" s="6198" t="s">
        <v>16</v>
      </c>
      <c r="C152" s="6198" t="s">
        <v>2582</v>
      </c>
      <c r="D152" s="6198" t="s">
        <v>2583</v>
      </c>
      <c r="E152" s="6198" t="s">
        <v>2584</v>
      </c>
      <c r="F152" s="6198" t="s">
        <v>2585</v>
      </c>
      <c r="G152" s="6198" t="s">
        <v>2586</v>
      </c>
      <c r="H152" s="6198" t="s">
        <v>28</v>
      </c>
      <c r="I152" s="6198" t="s">
        <v>967</v>
      </c>
    </row>
    <row customHeight="1" ht="11.25">
      <c r="A153" s="6198" t="s">
        <v>2323</v>
      </c>
      <c r="B153" s="6198" t="s">
        <v>16</v>
      </c>
      <c r="C153" s="6198" t="s">
        <v>2593</v>
      </c>
      <c r="D153" s="6198" t="s">
        <v>2594</v>
      </c>
      <c r="E153" s="6198" t="s">
        <v>2595</v>
      </c>
      <c r="F153" s="6198" t="s">
        <v>2596</v>
      </c>
      <c r="G153" s="6198" t="s">
        <v>28</v>
      </c>
      <c r="H153" s="6198" t="s">
        <v>28</v>
      </c>
      <c r="I153" s="6198" t="s">
        <v>967</v>
      </c>
    </row>
    <row customHeight="1" ht="11.25">
      <c r="A154" s="6198" t="s">
        <v>2323</v>
      </c>
      <c r="B154" s="6198" t="s">
        <v>16</v>
      </c>
      <c r="C154" s="6198" t="s">
        <v>2640</v>
      </c>
      <c r="D154" s="6198" t="s">
        <v>2641</v>
      </c>
      <c r="E154" s="6198" t="s">
        <v>2642</v>
      </c>
      <c r="F154" s="6198" t="s">
        <v>2643</v>
      </c>
      <c r="G154" s="6198" t="s">
        <v>28</v>
      </c>
      <c r="H154" s="6198" t="s">
        <v>28</v>
      </c>
      <c r="I154" s="6198" t="s">
        <v>967</v>
      </c>
    </row>
    <row customHeight="1" ht="11.25">
      <c r="A155" s="6198" t="s">
        <v>2323</v>
      </c>
      <c r="B155" s="6198" t="s">
        <v>16</v>
      </c>
      <c r="C155" s="6198" t="s">
        <v>2691</v>
      </c>
      <c r="D155" s="6198" t="s">
        <v>2692</v>
      </c>
      <c r="E155" s="6198" t="s">
        <v>2693</v>
      </c>
      <c r="F155" s="6198" t="s">
        <v>2326</v>
      </c>
      <c r="G155" s="6198" t="s">
        <v>28</v>
      </c>
      <c r="H155" s="6198" t="s">
        <v>28</v>
      </c>
      <c r="I155" s="6198" t="s">
        <v>967</v>
      </c>
    </row>
    <row customHeight="1" ht="11.25">
      <c r="A156" s="6198" t="s">
        <v>2323</v>
      </c>
      <c r="B156" s="6198" t="s">
        <v>16</v>
      </c>
      <c r="C156" s="6198" t="s">
        <v>2697</v>
      </c>
      <c r="D156" s="6198" t="s">
        <v>2698</v>
      </c>
      <c r="E156" s="6198" t="s">
        <v>2699</v>
      </c>
      <c r="F156" s="6198" t="s">
        <v>2524</v>
      </c>
      <c r="G156" s="6198" t="s">
        <v>28</v>
      </c>
      <c r="H156" s="6198" t="s">
        <v>28</v>
      </c>
      <c r="I156" s="6198" t="s">
        <v>967</v>
      </c>
    </row>
    <row customHeight="1" ht="11.25">
      <c r="A157" s="6198" t="s">
        <v>2323</v>
      </c>
      <c r="B157" s="6198" t="s">
        <v>16</v>
      </c>
      <c r="C157" s="6198" t="s">
        <v>2700</v>
      </c>
      <c r="D157" s="6198" t="s">
        <v>2701</v>
      </c>
      <c r="E157" s="6198" t="s">
        <v>2702</v>
      </c>
      <c r="F157" s="6198" t="s">
        <v>2703</v>
      </c>
      <c r="G157" s="6198" t="s">
        <v>2704</v>
      </c>
      <c r="H157" s="6198" t="s">
        <v>28</v>
      </c>
      <c r="I157" s="6198" t="s">
        <v>967</v>
      </c>
    </row>
    <row customHeight="1" ht="11.25">
      <c r="A158" s="6198" t="s">
        <v>2323</v>
      </c>
      <c r="B158" s="6198" t="s">
        <v>16</v>
      </c>
      <c r="C158" s="6198" t="s">
        <v>2736</v>
      </c>
      <c r="D158" s="6198" t="s">
        <v>2737</v>
      </c>
      <c r="E158" s="6198" t="s">
        <v>2738</v>
      </c>
      <c r="F158" s="6198" t="s">
        <v>2524</v>
      </c>
      <c r="G158" s="6198" t="s">
        <v>28</v>
      </c>
      <c r="H158" s="6198" t="s">
        <v>28</v>
      </c>
      <c r="I158" s="6198" t="s">
        <v>967</v>
      </c>
    </row>
    <row customHeight="1" ht="11.25">
      <c r="A159" s="6198" t="s">
        <v>2323</v>
      </c>
      <c r="B159" s="6198" t="s">
        <v>16</v>
      </c>
      <c r="C159" s="6198" t="s">
        <v>2747</v>
      </c>
      <c r="D159" s="6198" t="s">
        <v>2748</v>
      </c>
      <c r="E159" s="6198" t="s">
        <v>2749</v>
      </c>
      <c r="F159" s="6198" t="s">
        <v>2351</v>
      </c>
      <c r="G159" s="6198" t="s">
        <v>28</v>
      </c>
      <c r="H159" s="6198" t="s">
        <v>28</v>
      </c>
      <c r="I159" s="6198" t="s">
        <v>967</v>
      </c>
    </row>
    <row customHeight="1" ht="11.25">
      <c r="A160" s="6198" t="s">
        <v>2323</v>
      </c>
      <c r="B160" s="6198" t="s">
        <v>16</v>
      </c>
      <c r="C160" s="6198" t="s">
        <v>28</v>
      </c>
      <c r="D160" s="6198" t="s">
        <v>2324</v>
      </c>
      <c r="E160" s="6198" t="s">
        <v>2325</v>
      </c>
      <c r="F160" s="6198" t="s">
        <v>2326</v>
      </c>
      <c r="G160" s="6198" t="s">
        <v>28</v>
      </c>
      <c r="H160" s="6198" t="s">
        <v>28</v>
      </c>
      <c r="I160" s="6198" t="s">
        <v>927</v>
      </c>
    </row>
    <row customHeight="1" ht="11.25">
      <c r="A161" s="6198" t="s">
        <v>2323</v>
      </c>
      <c r="B161" s="6198" t="s">
        <v>16</v>
      </c>
      <c r="C161" s="6198" t="s">
        <v>2327</v>
      </c>
      <c r="D161" s="6198" t="s">
        <v>2328</v>
      </c>
      <c r="E161" s="6198" t="s">
        <v>2329</v>
      </c>
      <c r="F161" s="6198" t="s">
        <v>2330</v>
      </c>
      <c r="G161" s="6198" t="s">
        <v>28</v>
      </c>
      <c r="H161" s="6198" t="s">
        <v>28</v>
      </c>
      <c r="I161" s="6198" t="s">
        <v>927</v>
      </c>
    </row>
    <row customHeight="1" ht="11.25">
      <c r="A162" s="6198" t="s">
        <v>2323</v>
      </c>
      <c r="B162" s="6198" t="s">
        <v>16</v>
      </c>
      <c r="C162" s="6198" t="s">
        <v>2335</v>
      </c>
      <c r="D162" s="6198" t="s">
        <v>2336</v>
      </c>
      <c r="E162" s="6198" t="s">
        <v>2337</v>
      </c>
      <c r="F162" s="6198" t="s">
        <v>2338</v>
      </c>
      <c r="G162" s="6198" t="s">
        <v>28</v>
      </c>
      <c r="H162" s="6198" t="s">
        <v>28</v>
      </c>
      <c r="I162" s="6198" t="s">
        <v>927</v>
      </c>
    </row>
    <row customHeight="1" ht="11.25">
      <c r="A163" s="6198" t="s">
        <v>2323</v>
      </c>
      <c r="B163" s="6198" t="s">
        <v>16</v>
      </c>
      <c r="C163" s="6198" t="s">
        <v>13</v>
      </c>
      <c r="D163" s="6198" t="s">
        <v>47</v>
      </c>
      <c r="E163" s="6198" t="s">
        <v>50</v>
      </c>
      <c r="F163" s="6198" t="s">
        <v>52</v>
      </c>
      <c r="G163" s="6198" t="s">
        <v>28</v>
      </c>
      <c r="H163" s="6198" t="s">
        <v>28</v>
      </c>
      <c r="I163" s="6198" t="s">
        <v>927</v>
      </c>
    </row>
    <row customHeight="1" ht="11.25">
      <c r="A164" s="6198" t="s">
        <v>2323</v>
      </c>
      <c r="B164" s="6198" t="s">
        <v>16</v>
      </c>
      <c r="C164" s="6198" t="s">
        <v>2339</v>
      </c>
      <c r="D164" s="6198" t="s">
        <v>47</v>
      </c>
      <c r="E164" s="6198" t="s">
        <v>50</v>
      </c>
      <c r="F164" s="6198" t="s">
        <v>2340</v>
      </c>
      <c r="G164" s="6198" t="s">
        <v>2341</v>
      </c>
      <c r="H164" s="6198" t="s">
        <v>28</v>
      </c>
      <c r="I164" s="6198" t="s">
        <v>927</v>
      </c>
    </row>
    <row customHeight="1" ht="11.25">
      <c r="A165" s="6198" t="s">
        <v>2323</v>
      </c>
      <c r="B165" s="6198" t="s">
        <v>16</v>
      </c>
      <c r="C165" s="6198" t="s">
        <v>2345</v>
      </c>
      <c r="D165" s="6198" t="s">
        <v>2346</v>
      </c>
      <c r="E165" s="6198" t="s">
        <v>50</v>
      </c>
      <c r="F165" s="6198" t="s">
        <v>2347</v>
      </c>
      <c r="G165" s="6198" t="s">
        <v>28</v>
      </c>
      <c r="H165" s="6198" t="s">
        <v>28</v>
      </c>
      <c r="I165" s="6198" t="s">
        <v>927</v>
      </c>
    </row>
    <row customHeight="1" ht="11.25">
      <c r="A166" s="6198" t="s">
        <v>2323</v>
      </c>
      <c r="B166" s="6198" t="s">
        <v>16</v>
      </c>
      <c r="C166" s="6198" t="s">
        <v>2348</v>
      </c>
      <c r="D166" s="6198" t="s">
        <v>2349</v>
      </c>
      <c r="E166" s="6198" t="s">
        <v>2350</v>
      </c>
      <c r="F166" s="6198" t="s">
        <v>2351</v>
      </c>
      <c r="G166" s="6198" t="s">
        <v>28</v>
      </c>
      <c r="H166" s="6198" t="s">
        <v>28</v>
      </c>
      <c r="I166" s="6198" t="s">
        <v>927</v>
      </c>
    </row>
    <row customHeight="1" ht="11.25">
      <c r="A167" s="6198" t="s">
        <v>2323</v>
      </c>
      <c r="B167" s="6198" t="s">
        <v>16</v>
      </c>
      <c r="C167" s="6198" t="s">
        <v>2356</v>
      </c>
      <c r="D167" s="6198" t="s">
        <v>2357</v>
      </c>
      <c r="E167" s="6198" t="s">
        <v>2358</v>
      </c>
      <c r="F167" s="6198" t="s">
        <v>2359</v>
      </c>
      <c r="G167" s="6198" t="s">
        <v>28</v>
      </c>
      <c r="H167" s="6198" t="s">
        <v>28</v>
      </c>
      <c r="I167" s="6198" t="s">
        <v>927</v>
      </c>
    </row>
    <row customHeight="1" ht="11.25">
      <c r="A168" s="6198" t="s">
        <v>2323</v>
      </c>
      <c r="B168" s="6198" t="s">
        <v>16</v>
      </c>
      <c r="C168" s="6198" t="s">
        <v>2772</v>
      </c>
      <c r="D168" s="6198" t="s">
        <v>2773</v>
      </c>
      <c r="E168" s="6198" t="s">
        <v>2774</v>
      </c>
      <c r="F168" s="6198" t="s">
        <v>2568</v>
      </c>
      <c r="G168" s="6198" t="s">
        <v>2775</v>
      </c>
      <c r="H168" s="6198" t="s">
        <v>28</v>
      </c>
      <c r="I168" s="6198" t="s">
        <v>927</v>
      </c>
    </row>
    <row customHeight="1" ht="11.25">
      <c r="A169" s="6198" t="s">
        <v>2323</v>
      </c>
      <c r="B169" s="6198" t="s">
        <v>16</v>
      </c>
      <c r="C169" s="6198" t="s">
        <v>2365</v>
      </c>
      <c r="D169" s="6198" t="s">
        <v>2366</v>
      </c>
      <c r="E169" s="6198" t="s">
        <v>2367</v>
      </c>
      <c r="F169" s="6198" t="s">
        <v>2334</v>
      </c>
      <c r="G169" s="6198" t="s">
        <v>28</v>
      </c>
      <c r="H169" s="6198" t="s">
        <v>28</v>
      </c>
      <c r="I169" s="6198" t="s">
        <v>927</v>
      </c>
    </row>
    <row customHeight="1" ht="11.25">
      <c r="A170" s="6198" t="s">
        <v>2323</v>
      </c>
      <c r="B170" s="6198" t="s">
        <v>16</v>
      </c>
      <c r="C170" s="6198" t="s">
        <v>2776</v>
      </c>
      <c r="D170" s="6198" t="s">
        <v>2777</v>
      </c>
      <c r="E170" s="6198" t="s">
        <v>2778</v>
      </c>
      <c r="F170" s="6198" t="s">
        <v>2351</v>
      </c>
      <c r="G170" s="6198" t="s">
        <v>2779</v>
      </c>
      <c r="H170" s="6198" t="s">
        <v>28</v>
      </c>
      <c r="I170" s="6198" t="s">
        <v>927</v>
      </c>
    </row>
    <row customHeight="1" ht="11.25">
      <c r="A171" s="6198" t="s">
        <v>2323</v>
      </c>
      <c r="B171" s="6198" t="s">
        <v>16</v>
      </c>
      <c r="C171" s="6198" t="s">
        <v>2377</v>
      </c>
      <c r="D171" s="6198" t="s">
        <v>2378</v>
      </c>
      <c r="E171" s="6198" t="s">
        <v>2379</v>
      </c>
      <c r="F171" s="6198" t="s">
        <v>2380</v>
      </c>
      <c r="G171" s="6198" t="s">
        <v>2381</v>
      </c>
      <c r="H171" s="6198" t="s">
        <v>28</v>
      </c>
      <c r="I171" s="6198" t="s">
        <v>927</v>
      </c>
    </row>
    <row customHeight="1" ht="11.25">
      <c r="A172" s="6198" t="s">
        <v>2323</v>
      </c>
      <c r="B172" s="6198" t="s">
        <v>16</v>
      </c>
      <c r="C172" s="6198" t="s">
        <v>2780</v>
      </c>
      <c r="D172" s="6198" t="s">
        <v>2781</v>
      </c>
      <c r="E172" s="6198" t="s">
        <v>2782</v>
      </c>
      <c r="F172" s="6198" t="s">
        <v>2334</v>
      </c>
      <c r="G172" s="6198" t="s">
        <v>28</v>
      </c>
      <c r="H172" s="6198" t="s">
        <v>28</v>
      </c>
      <c r="I172" s="6198" t="s">
        <v>927</v>
      </c>
    </row>
    <row customHeight="1" ht="11.25">
      <c r="A173" s="6198" t="s">
        <v>2323</v>
      </c>
      <c r="B173" s="6198" t="s">
        <v>16</v>
      </c>
      <c r="C173" s="6198" t="s">
        <v>2385</v>
      </c>
      <c r="D173" s="6198" t="s">
        <v>2386</v>
      </c>
      <c r="E173" s="6198" t="s">
        <v>2387</v>
      </c>
      <c r="F173" s="6198" t="s">
        <v>2388</v>
      </c>
      <c r="G173" s="6198" t="s">
        <v>28</v>
      </c>
      <c r="H173" s="6198" t="s">
        <v>28</v>
      </c>
      <c r="I173" s="6198" t="s">
        <v>927</v>
      </c>
    </row>
    <row customHeight="1" ht="11.25">
      <c r="A174" s="6198" t="s">
        <v>2323</v>
      </c>
      <c r="B174" s="6198" t="s">
        <v>16</v>
      </c>
      <c r="C174" s="6198" t="s">
        <v>2783</v>
      </c>
      <c r="D174" s="6198" t="s">
        <v>2784</v>
      </c>
      <c r="E174" s="6198" t="s">
        <v>2785</v>
      </c>
      <c r="F174" s="6198" t="s">
        <v>2746</v>
      </c>
      <c r="G174" s="6198" t="s">
        <v>2786</v>
      </c>
      <c r="H174" s="6198" t="s">
        <v>28</v>
      </c>
      <c r="I174" s="6198" t="s">
        <v>927</v>
      </c>
    </row>
    <row customHeight="1" ht="11.25">
      <c r="A175" s="6198" t="s">
        <v>2323</v>
      </c>
      <c r="B175" s="6198" t="s">
        <v>16</v>
      </c>
      <c r="C175" s="6198" t="s">
        <v>2397</v>
      </c>
      <c r="D175" s="6198" t="s">
        <v>2398</v>
      </c>
      <c r="E175" s="6198" t="s">
        <v>2399</v>
      </c>
      <c r="F175" s="6198" t="s">
        <v>2326</v>
      </c>
      <c r="G175" s="6198" t="s">
        <v>2400</v>
      </c>
      <c r="H175" s="6198" t="s">
        <v>28</v>
      </c>
      <c r="I175" s="6198" t="s">
        <v>927</v>
      </c>
    </row>
    <row customHeight="1" ht="11.25">
      <c r="A176" s="6198" t="s">
        <v>2323</v>
      </c>
      <c r="B176" s="6198" t="s">
        <v>16</v>
      </c>
      <c r="C176" s="6198" t="s">
        <v>2787</v>
      </c>
      <c r="D176" s="6198" t="s">
        <v>2788</v>
      </c>
      <c r="E176" s="6198" t="s">
        <v>2789</v>
      </c>
      <c r="F176" s="6198" t="s">
        <v>2790</v>
      </c>
      <c r="G176" s="6198" t="s">
        <v>28</v>
      </c>
      <c r="H176" s="6198" t="s">
        <v>28</v>
      </c>
      <c r="I176" s="6198" t="s">
        <v>927</v>
      </c>
    </row>
    <row customHeight="1" ht="11.25">
      <c r="A177" s="6198" t="s">
        <v>2323</v>
      </c>
      <c r="B177" s="6198" t="s">
        <v>16</v>
      </c>
      <c r="C177" s="6198" t="s">
        <v>2419</v>
      </c>
      <c r="D177" s="6198" t="s">
        <v>2420</v>
      </c>
      <c r="E177" s="6198" t="s">
        <v>2417</v>
      </c>
      <c r="F177" s="6198" t="s">
        <v>2421</v>
      </c>
      <c r="G177" s="6198" t="s">
        <v>28</v>
      </c>
      <c r="H177" s="6198" t="s">
        <v>28</v>
      </c>
      <c r="I177" s="6198" t="s">
        <v>927</v>
      </c>
    </row>
    <row customHeight="1" ht="11.25">
      <c r="A178" s="6198" t="s">
        <v>2323</v>
      </c>
      <c r="B178" s="6198" t="s">
        <v>16</v>
      </c>
      <c r="C178" s="6198" t="s">
        <v>2791</v>
      </c>
      <c r="D178" s="6198" t="s">
        <v>2792</v>
      </c>
      <c r="E178" s="6198" t="s">
        <v>2793</v>
      </c>
      <c r="F178" s="6198" t="s">
        <v>2454</v>
      </c>
      <c r="G178" s="6198" t="s">
        <v>28</v>
      </c>
      <c r="H178" s="6198" t="s">
        <v>28</v>
      </c>
      <c r="I178" s="6198" t="s">
        <v>927</v>
      </c>
    </row>
    <row customHeight="1" ht="11.25">
      <c r="A179" s="6198" t="s">
        <v>2323</v>
      </c>
      <c r="B179" s="6198" t="s">
        <v>16</v>
      </c>
      <c r="C179" s="6198" t="s">
        <v>2430</v>
      </c>
      <c r="D179" s="6198" t="s">
        <v>2431</v>
      </c>
      <c r="E179" s="6198" t="s">
        <v>2432</v>
      </c>
      <c r="F179" s="6198" t="s">
        <v>2371</v>
      </c>
      <c r="G179" s="6198" t="s">
        <v>28</v>
      </c>
      <c r="H179" s="6198" t="s">
        <v>28</v>
      </c>
      <c r="I179" s="6198" t="s">
        <v>927</v>
      </c>
    </row>
    <row customHeight="1" ht="11.25">
      <c r="A180" s="6198" t="s">
        <v>2323</v>
      </c>
      <c r="B180" s="6198" t="s">
        <v>16</v>
      </c>
      <c r="C180" s="6198" t="s">
        <v>2794</v>
      </c>
      <c r="D180" s="6198" t="s">
        <v>2795</v>
      </c>
      <c r="E180" s="6198" t="s">
        <v>2796</v>
      </c>
      <c r="F180" s="6198" t="s">
        <v>649</v>
      </c>
      <c r="G180" s="6198" t="s">
        <v>28</v>
      </c>
      <c r="H180" s="6198" t="s">
        <v>28</v>
      </c>
      <c r="I180" s="6198" t="s">
        <v>927</v>
      </c>
    </row>
    <row customHeight="1" ht="11.25">
      <c r="A181" s="6198" t="s">
        <v>2323</v>
      </c>
      <c r="B181" s="6198" t="s">
        <v>16</v>
      </c>
      <c r="C181" s="6198" t="s">
        <v>2797</v>
      </c>
      <c r="D181" s="6198" t="s">
        <v>2798</v>
      </c>
      <c r="E181" s="6198" t="s">
        <v>2799</v>
      </c>
      <c r="F181" s="6198" t="s">
        <v>649</v>
      </c>
      <c r="G181" s="6198" t="s">
        <v>28</v>
      </c>
      <c r="H181" s="6198" t="s">
        <v>28</v>
      </c>
      <c r="I181" s="6198" t="s">
        <v>927</v>
      </c>
    </row>
    <row customHeight="1" ht="11.25">
      <c r="A182" s="6198" t="s">
        <v>2323</v>
      </c>
      <c r="B182" s="6198" t="s">
        <v>16</v>
      </c>
      <c r="C182" s="6198" t="s">
        <v>2800</v>
      </c>
      <c r="D182" s="6198" t="s">
        <v>2801</v>
      </c>
      <c r="E182" s="6198" t="s">
        <v>2802</v>
      </c>
      <c r="F182" s="6198" t="s">
        <v>649</v>
      </c>
      <c r="G182" s="6198" t="s">
        <v>28</v>
      </c>
      <c r="H182" s="6198" t="s">
        <v>28</v>
      </c>
      <c r="I182" s="6198" t="s">
        <v>927</v>
      </c>
    </row>
    <row customHeight="1" ht="11.25">
      <c r="A183" s="6198" t="s">
        <v>2323</v>
      </c>
      <c r="B183" s="6198" t="s">
        <v>16</v>
      </c>
      <c r="C183" s="6198" t="s">
        <v>2455</v>
      </c>
      <c r="D183" s="6198" t="s">
        <v>2456</v>
      </c>
      <c r="E183" s="6198" t="s">
        <v>2457</v>
      </c>
      <c r="F183" s="6198" t="s">
        <v>2425</v>
      </c>
      <c r="G183" s="6198" t="s">
        <v>28</v>
      </c>
      <c r="H183" s="6198" t="s">
        <v>28</v>
      </c>
      <c r="I183" s="6198" t="s">
        <v>927</v>
      </c>
    </row>
    <row customHeight="1" ht="11.25">
      <c r="A184" s="6198" t="s">
        <v>2323</v>
      </c>
      <c r="B184" s="6198" t="s">
        <v>16</v>
      </c>
      <c r="C184" s="6198" t="s">
        <v>2803</v>
      </c>
      <c r="D184" s="6198" t="s">
        <v>2466</v>
      </c>
      <c r="E184" s="6198" t="s">
        <v>2467</v>
      </c>
      <c r="F184" s="6198" t="s">
        <v>2804</v>
      </c>
      <c r="G184" s="6198" t="s">
        <v>28</v>
      </c>
      <c r="H184" s="6198" t="s">
        <v>28</v>
      </c>
      <c r="I184" s="6198" t="s">
        <v>927</v>
      </c>
    </row>
    <row customHeight="1" ht="11.25">
      <c r="A185" s="6198" t="s">
        <v>2323</v>
      </c>
      <c r="B185" s="6198" t="s">
        <v>16</v>
      </c>
      <c r="C185" s="6198" t="s">
        <v>2753</v>
      </c>
      <c r="D185" s="6198" t="s">
        <v>2466</v>
      </c>
      <c r="E185" s="6198" t="s">
        <v>2467</v>
      </c>
      <c r="F185" s="6198" t="s">
        <v>2754</v>
      </c>
      <c r="G185" s="6198" t="s">
        <v>28</v>
      </c>
      <c r="H185" s="6198" t="s">
        <v>28</v>
      </c>
      <c r="I185" s="6198" t="s">
        <v>927</v>
      </c>
    </row>
    <row customHeight="1" ht="11.25">
      <c r="A186" s="6198" t="s">
        <v>2323</v>
      </c>
      <c r="B186" s="6198" t="s">
        <v>16</v>
      </c>
      <c r="C186" s="6198" t="s">
        <v>2755</v>
      </c>
      <c r="D186" s="6198" t="s">
        <v>2466</v>
      </c>
      <c r="E186" s="6198" t="s">
        <v>2467</v>
      </c>
      <c r="F186" s="6198" t="s">
        <v>2756</v>
      </c>
      <c r="G186" s="6198" t="s">
        <v>28</v>
      </c>
      <c r="H186" s="6198" t="s">
        <v>28</v>
      </c>
      <c r="I186" s="6198" t="s">
        <v>927</v>
      </c>
    </row>
    <row customHeight="1" ht="11.25">
      <c r="A187" s="6198" t="s">
        <v>2323</v>
      </c>
      <c r="B187" s="6198" t="s">
        <v>16</v>
      </c>
      <c r="C187" s="6198" t="s">
        <v>2757</v>
      </c>
      <c r="D187" s="6198" t="s">
        <v>2466</v>
      </c>
      <c r="E187" s="6198" t="s">
        <v>2467</v>
      </c>
      <c r="F187" s="6198" t="s">
        <v>2758</v>
      </c>
      <c r="G187" s="6198" t="s">
        <v>28</v>
      </c>
      <c r="H187" s="6198" t="s">
        <v>28</v>
      </c>
      <c r="I187" s="6198" t="s">
        <v>927</v>
      </c>
    </row>
    <row customHeight="1" ht="11.25">
      <c r="A188" s="6198" t="s">
        <v>2323</v>
      </c>
      <c r="B188" s="6198" t="s">
        <v>16</v>
      </c>
      <c r="C188" s="6198" t="s">
        <v>2805</v>
      </c>
      <c r="D188" s="6198" t="s">
        <v>2466</v>
      </c>
      <c r="E188" s="6198" t="s">
        <v>2467</v>
      </c>
      <c r="F188" s="6198" t="s">
        <v>2806</v>
      </c>
      <c r="G188" s="6198" t="s">
        <v>28</v>
      </c>
      <c r="H188" s="6198" t="s">
        <v>28</v>
      </c>
      <c r="I188" s="6198" t="s">
        <v>927</v>
      </c>
    </row>
    <row customHeight="1" ht="11.25">
      <c r="A189" s="6198" t="s">
        <v>2323</v>
      </c>
      <c r="B189" s="6198" t="s">
        <v>16</v>
      </c>
      <c r="C189" s="6198" t="s">
        <v>2759</v>
      </c>
      <c r="D189" s="6198" t="s">
        <v>2466</v>
      </c>
      <c r="E189" s="6198" t="s">
        <v>2467</v>
      </c>
      <c r="F189" s="6198" t="s">
        <v>2760</v>
      </c>
      <c r="G189" s="6198" t="s">
        <v>28</v>
      </c>
      <c r="H189" s="6198" t="s">
        <v>28</v>
      </c>
      <c r="I189" s="6198" t="s">
        <v>927</v>
      </c>
    </row>
    <row customHeight="1" ht="11.25">
      <c r="A190" s="6198" t="s">
        <v>2323</v>
      </c>
      <c r="B190" s="6198" t="s">
        <v>16</v>
      </c>
      <c r="C190" s="6198" t="s">
        <v>2761</v>
      </c>
      <c r="D190" s="6198" t="s">
        <v>2466</v>
      </c>
      <c r="E190" s="6198" t="s">
        <v>2467</v>
      </c>
      <c r="F190" s="6198" t="s">
        <v>2762</v>
      </c>
      <c r="G190" s="6198" t="s">
        <v>28</v>
      </c>
      <c r="H190" s="6198" t="s">
        <v>28</v>
      </c>
      <c r="I190" s="6198" t="s">
        <v>927</v>
      </c>
    </row>
    <row customHeight="1" ht="11.25">
      <c r="A191" s="6198" t="s">
        <v>2323</v>
      </c>
      <c r="B191" s="6198" t="s">
        <v>16</v>
      </c>
      <c r="C191" s="6198" t="s">
        <v>2763</v>
      </c>
      <c r="D191" s="6198" t="s">
        <v>2466</v>
      </c>
      <c r="E191" s="6198" t="s">
        <v>2467</v>
      </c>
      <c r="F191" s="6198" t="s">
        <v>2764</v>
      </c>
      <c r="G191" s="6198" t="s">
        <v>28</v>
      </c>
      <c r="H191" s="6198" t="s">
        <v>28</v>
      </c>
      <c r="I191" s="6198" t="s">
        <v>927</v>
      </c>
    </row>
    <row customHeight="1" ht="11.25">
      <c r="A192" s="6198" t="s">
        <v>2323</v>
      </c>
      <c r="B192" s="6198" t="s">
        <v>16</v>
      </c>
      <c r="C192" s="6198" t="s">
        <v>2765</v>
      </c>
      <c r="D192" s="6198" t="s">
        <v>2466</v>
      </c>
      <c r="E192" s="6198" t="s">
        <v>2467</v>
      </c>
      <c r="F192" s="6198" t="s">
        <v>2766</v>
      </c>
      <c r="G192" s="6198" t="s">
        <v>28</v>
      </c>
      <c r="H192" s="6198" t="s">
        <v>28</v>
      </c>
      <c r="I192" s="6198" t="s">
        <v>927</v>
      </c>
    </row>
    <row customHeight="1" ht="11.25">
      <c r="A193" s="6198" t="s">
        <v>2323</v>
      </c>
      <c r="B193" s="6198" t="s">
        <v>16</v>
      </c>
      <c r="C193" s="6198" t="s">
        <v>2767</v>
      </c>
      <c r="D193" s="6198" t="s">
        <v>2466</v>
      </c>
      <c r="E193" s="6198" t="s">
        <v>2467</v>
      </c>
      <c r="F193" s="6198" t="s">
        <v>2768</v>
      </c>
      <c r="G193" s="6198" t="s">
        <v>28</v>
      </c>
      <c r="H193" s="6198" t="s">
        <v>28</v>
      </c>
      <c r="I193" s="6198" t="s">
        <v>927</v>
      </c>
    </row>
    <row customHeight="1" ht="11.25">
      <c r="A194" s="6198" t="s">
        <v>2323</v>
      </c>
      <c r="B194" s="6198" t="s">
        <v>16</v>
      </c>
      <c r="C194" s="6198" t="s">
        <v>2465</v>
      </c>
      <c r="D194" s="6198" t="s">
        <v>2466</v>
      </c>
      <c r="E194" s="6198" t="s">
        <v>2467</v>
      </c>
      <c r="F194" s="6198" t="s">
        <v>2464</v>
      </c>
      <c r="G194" s="6198" t="s">
        <v>28</v>
      </c>
      <c r="H194" s="6198" t="s">
        <v>28</v>
      </c>
      <c r="I194" s="6198" t="s">
        <v>927</v>
      </c>
    </row>
    <row customHeight="1" ht="11.25">
      <c r="A195" s="6198" t="s">
        <v>2323</v>
      </c>
      <c r="B195" s="6198" t="s">
        <v>16</v>
      </c>
      <c r="C195" s="6198" t="s">
        <v>2807</v>
      </c>
      <c r="D195" s="6198" t="s">
        <v>2808</v>
      </c>
      <c r="E195" s="6198" t="s">
        <v>2809</v>
      </c>
      <c r="F195" s="6198" t="s">
        <v>2351</v>
      </c>
      <c r="G195" s="6198" t="s">
        <v>28</v>
      </c>
      <c r="H195" s="6198" t="s">
        <v>28</v>
      </c>
      <c r="I195" s="6198" t="s">
        <v>927</v>
      </c>
    </row>
    <row customHeight="1" ht="11.25">
      <c r="A196" s="6198" t="s">
        <v>2323</v>
      </c>
      <c r="B196" s="6198" t="s">
        <v>16</v>
      </c>
      <c r="C196" s="6198" t="s">
        <v>2810</v>
      </c>
      <c r="D196" s="6198" t="s">
        <v>2808</v>
      </c>
      <c r="E196" s="6198" t="s">
        <v>2809</v>
      </c>
      <c r="F196" s="6198" t="s">
        <v>2811</v>
      </c>
      <c r="G196" s="6198" t="s">
        <v>28</v>
      </c>
      <c r="H196" s="6198" t="s">
        <v>28</v>
      </c>
      <c r="I196" s="6198" t="s">
        <v>927</v>
      </c>
    </row>
    <row customHeight="1" ht="11.25">
      <c r="A197" s="6198" t="s">
        <v>2323</v>
      </c>
      <c r="B197" s="6198" t="s">
        <v>16</v>
      </c>
      <c r="C197" s="6198" t="s">
        <v>2812</v>
      </c>
      <c r="D197" s="6198" t="s">
        <v>2770</v>
      </c>
      <c r="E197" s="6198" t="s">
        <v>2467</v>
      </c>
      <c r="F197" s="6198" t="s">
        <v>2813</v>
      </c>
      <c r="G197" s="6198" t="s">
        <v>28</v>
      </c>
      <c r="H197" s="6198" t="s">
        <v>28</v>
      </c>
      <c r="I197" s="6198" t="s">
        <v>927</v>
      </c>
    </row>
    <row customHeight="1" ht="11.25">
      <c r="A198" s="6198" t="s">
        <v>2323</v>
      </c>
      <c r="B198" s="6198" t="s">
        <v>16</v>
      </c>
      <c r="C198" s="6198" t="s">
        <v>2769</v>
      </c>
      <c r="D198" s="6198" t="s">
        <v>2770</v>
      </c>
      <c r="E198" s="6198" t="s">
        <v>2467</v>
      </c>
      <c r="F198" s="6198" t="s">
        <v>2771</v>
      </c>
      <c r="G198" s="6198" t="s">
        <v>28</v>
      </c>
      <c r="H198" s="6198" t="s">
        <v>28</v>
      </c>
      <c r="I198" s="6198" t="s">
        <v>927</v>
      </c>
    </row>
    <row customHeight="1" ht="11.25">
      <c r="A199" s="6198" t="s">
        <v>2323</v>
      </c>
      <c r="B199" s="6198" t="s">
        <v>16</v>
      </c>
      <c r="C199" s="6198" t="s">
        <v>2814</v>
      </c>
      <c r="D199" s="6198" t="s">
        <v>2815</v>
      </c>
      <c r="E199" s="6198" t="s">
        <v>2816</v>
      </c>
      <c r="F199" s="6198" t="s">
        <v>2359</v>
      </c>
      <c r="G199" s="6198" t="s">
        <v>28</v>
      </c>
      <c r="H199" s="6198" t="s">
        <v>28</v>
      </c>
      <c r="I199" s="6198" t="s">
        <v>927</v>
      </c>
    </row>
    <row customHeight="1" ht="11.25">
      <c r="A200" s="6198" t="s">
        <v>2323</v>
      </c>
      <c r="B200" s="6198" t="s">
        <v>16</v>
      </c>
      <c r="C200" s="6198" t="s">
        <v>2817</v>
      </c>
      <c r="D200" s="6198" t="s">
        <v>2818</v>
      </c>
      <c r="E200" s="6198" t="s">
        <v>2819</v>
      </c>
      <c r="F200" s="6198" t="s">
        <v>2555</v>
      </c>
      <c r="G200" s="6198" t="s">
        <v>28</v>
      </c>
      <c r="H200" s="6198" t="s">
        <v>28</v>
      </c>
      <c r="I200" s="6198" t="s">
        <v>927</v>
      </c>
    </row>
    <row customHeight="1" ht="11.25">
      <c r="A201" s="6198" t="s">
        <v>2323</v>
      </c>
      <c r="B201" s="6198" t="s">
        <v>16</v>
      </c>
      <c r="C201" s="6198" t="s">
        <v>2820</v>
      </c>
      <c r="D201" s="6198" t="s">
        <v>2821</v>
      </c>
      <c r="E201" s="6198" t="s">
        <v>2822</v>
      </c>
      <c r="F201" s="6198" t="s">
        <v>2664</v>
      </c>
      <c r="G201" s="6198" t="s">
        <v>28</v>
      </c>
      <c r="H201" s="6198" t="s">
        <v>28</v>
      </c>
      <c r="I201" s="6198" t="s">
        <v>927</v>
      </c>
    </row>
    <row customHeight="1" ht="11.25">
      <c r="A202" s="6198" t="s">
        <v>2323</v>
      </c>
      <c r="B202" s="6198" t="s">
        <v>16</v>
      </c>
      <c r="C202" s="6198" t="s">
        <v>2823</v>
      </c>
      <c r="D202" s="6198" t="s">
        <v>2824</v>
      </c>
      <c r="E202" s="6198" t="s">
        <v>2825</v>
      </c>
      <c r="F202" s="6198" t="s">
        <v>2380</v>
      </c>
      <c r="G202" s="6198" t="s">
        <v>28</v>
      </c>
      <c r="H202" s="6198" t="s">
        <v>28</v>
      </c>
      <c r="I202" s="6198" t="s">
        <v>927</v>
      </c>
    </row>
    <row customHeight="1" ht="11.25">
      <c r="A203" s="6198" t="s">
        <v>2323</v>
      </c>
      <c r="B203" s="6198" t="s">
        <v>16</v>
      </c>
      <c r="C203" s="6198" t="s">
        <v>2826</v>
      </c>
      <c r="D203" s="6198" t="s">
        <v>2827</v>
      </c>
      <c r="E203" s="6198" t="s">
        <v>2828</v>
      </c>
      <c r="F203" s="6198" t="s">
        <v>2475</v>
      </c>
      <c r="G203" s="6198" t="s">
        <v>28</v>
      </c>
      <c r="H203" s="6198" t="s">
        <v>28</v>
      </c>
      <c r="I203" s="6198" t="s">
        <v>927</v>
      </c>
    </row>
    <row customHeight="1" ht="11.25">
      <c r="A204" s="6198" t="s">
        <v>2323</v>
      </c>
      <c r="B204" s="6198" t="s">
        <v>16</v>
      </c>
      <c r="C204" s="6198" t="s">
        <v>2829</v>
      </c>
      <c r="D204" s="6198" t="s">
        <v>2830</v>
      </c>
      <c r="E204" s="6198" t="s">
        <v>2831</v>
      </c>
      <c r="F204" s="6198" t="s">
        <v>2832</v>
      </c>
      <c r="G204" s="6198" t="s">
        <v>28</v>
      </c>
      <c r="H204" s="6198" t="s">
        <v>28</v>
      </c>
      <c r="I204" s="6198" t="s">
        <v>927</v>
      </c>
    </row>
    <row customHeight="1" ht="11.25">
      <c r="A205" s="6198" t="s">
        <v>2323</v>
      </c>
      <c r="B205" s="6198" t="s">
        <v>16</v>
      </c>
      <c r="C205" s="6198" t="s">
        <v>2833</v>
      </c>
      <c r="D205" s="6198" t="s">
        <v>2834</v>
      </c>
      <c r="E205" s="6198" t="s">
        <v>2835</v>
      </c>
      <c r="F205" s="6198" t="s">
        <v>2380</v>
      </c>
      <c r="G205" s="6198" t="s">
        <v>28</v>
      </c>
      <c r="H205" s="6198" t="s">
        <v>28</v>
      </c>
      <c r="I205" s="6198" t="s">
        <v>927</v>
      </c>
    </row>
    <row customHeight="1" ht="11.25">
      <c r="A206" s="6198" t="s">
        <v>2323</v>
      </c>
      <c r="B206" s="6198" t="s">
        <v>16</v>
      </c>
      <c r="C206" s="6198" t="s">
        <v>2472</v>
      </c>
      <c r="D206" s="6198" t="s">
        <v>2473</v>
      </c>
      <c r="E206" s="6198" t="s">
        <v>2474</v>
      </c>
      <c r="F206" s="6198" t="s">
        <v>2475</v>
      </c>
      <c r="G206" s="6198" t="s">
        <v>28</v>
      </c>
      <c r="H206" s="6198" t="s">
        <v>28</v>
      </c>
      <c r="I206" s="6198" t="s">
        <v>927</v>
      </c>
    </row>
    <row customHeight="1" ht="11.25">
      <c r="A207" s="6198" t="s">
        <v>2323</v>
      </c>
      <c r="B207" s="6198" t="s">
        <v>16</v>
      </c>
      <c r="C207" s="6198" t="s">
        <v>2836</v>
      </c>
      <c r="D207" s="6198" t="s">
        <v>2837</v>
      </c>
      <c r="E207" s="6198" t="s">
        <v>2838</v>
      </c>
      <c r="F207" s="6198" t="s">
        <v>2493</v>
      </c>
      <c r="G207" s="6198" t="s">
        <v>2839</v>
      </c>
      <c r="H207" s="6198" t="s">
        <v>28</v>
      </c>
      <c r="I207" s="6198" t="s">
        <v>927</v>
      </c>
    </row>
    <row customHeight="1" ht="11.25">
      <c r="A208" s="6198" t="s">
        <v>2323</v>
      </c>
      <c r="B208" s="6198" t="s">
        <v>16</v>
      </c>
      <c r="C208" s="6198" t="s">
        <v>2840</v>
      </c>
      <c r="D208" s="6198" t="s">
        <v>2841</v>
      </c>
      <c r="E208" s="6198" t="s">
        <v>2842</v>
      </c>
      <c r="F208" s="6198" t="s">
        <v>2843</v>
      </c>
      <c r="G208" s="6198" t="s">
        <v>28</v>
      </c>
      <c r="H208" s="6198" t="s">
        <v>28</v>
      </c>
      <c r="I208" s="6198" t="s">
        <v>927</v>
      </c>
    </row>
    <row customHeight="1" ht="11.25">
      <c r="A209" s="6198" t="s">
        <v>2323</v>
      </c>
      <c r="B209" s="6198" t="s">
        <v>16</v>
      </c>
      <c r="C209" s="6198" t="s">
        <v>2844</v>
      </c>
      <c r="D209" s="6198" t="s">
        <v>2845</v>
      </c>
      <c r="E209" s="6198" t="s">
        <v>2846</v>
      </c>
      <c r="F209" s="6198" t="s">
        <v>2493</v>
      </c>
      <c r="G209" s="6198" t="s">
        <v>28</v>
      </c>
      <c r="H209" s="6198" t="s">
        <v>28</v>
      </c>
      <c r="I209" s="6198" t="s">
        <v>927</v>
      </c>
    </row>
    <row customHeight="1" ht="11.25">
      <c r="A210" s="6198" t="s">
        <v>2323</v>
      </c>
      <c r="B210" s="6198" t="s">
        <v>16</v>
      </c>
      <c r="C210" s="6198" t="s">
        <v>2847</v>
      </c>
      <c r="D210" s="6198" t="s">
        <v>2848</v>
      </c>
      <c r="E210" s="6198" t="s">
        <v>2849</v>
      </c>
      <c r="F210" s="6198" t="s">
        <v>2359</v>
      </c>
      <c r="G210" s="6198" t="s">
        <v>2850</v>
      </c>
      <c r="H210" s="6198" t="s">
        <v>28</v>
      </c>
      <c r="I210" s="6198" t="s">
        <v>927</v>
      </c>
    </row>
    <row customHeight="1" ht="11.25">
      <c r="A211" s="6198" t="s">
        <v>2323</v>
      </c>
      <c r="B211" s="6198" t="s">
        <v>16</v>
      </c>
      <c r="C211" s="6198" t="s">
        <v>2851</v>
      </c>
      <c r="D211" s="6198" t="s">
        <v>2852</v>
      </c>
      <c r="E211" s="6198" t="s">
        <v>2853</v>
      </c>
      <c r="F211" s="6198" t="s">
        <v>2359</v>
      </c>
      <c r="G211" s="6198" t="s">
        <v>2854</v>
      </c>
      <c r="H211" s="6198" t="s">
        <v>28</v>
      </c>
      <c r="I211" s="6198" t="s">
        <v>927</v>
      </c>
    </row>
    <row customHeight="1" ht="11.25">
      <c r="A212" s="6198" t="s">
        <v>2323</v>
      </c>
      <c r="B212" s="6198" t="s">
        <v>16</v>
      </c>
      <c r="C212" s="6198" t="s">
        <v>2479</v>
      </c>
      <c r="D212" s="6198" t="s">
        <v>2480</v>
      </c>
      <c r="E212" s="6198" t="s">
        <v>2481</v>
      </c>
      <c r="F212" s="6198" t="s">
        <v>2482</v>
      </c>
      <c r="G212" s="6198" t="s">
        <v>28</v>
      </c>
      <c r="H212" s="6198" t="s">
        <v>28</v>
      </c>
      <c r="I212" s="6198" t="s">
        <v>927</v>
      </c>
    </row>
    <row customHeight="1" ht="11.25">
      <c r="A213" s="6198" t="s">
        <v>2323</v>
      </c>
      <c r="B213" s="6198" t="s">
        <v>16</v>
      </c>
      <c r="C213" s="6198" t="s">
        <v>2483</v>
      </c>
      <c r="D213" s="6198" t="s">
        <v>2484</v>
      </c>
      <c r="E213" s="6198" t="s">
        <v>2485</v>
      </c>
      <c r="F213" s="6198" t="s">
        <v>2486</v>
      </c>
      <c r="G213" s="6198" t="s">
        <v>28</v>
      </c>
      <c r="H213" s="6198" t="s">
        <v>28</v>
      </c>
      <c r="I213" s="6198" t="s">
        <v>927</v>
      </c>
    </row>
    <row customHeight="1" ht="11.25">
      <c r="A214" s="6198" t="s">
        <v>2323</v>
      </c>
      <c r="B214" s="6198" t="s">
        <v>16</v>
      </c>
      <c r="C214" s="6198" t="s">
        <v>2487</v>
      </c>
      <c r="D214" s="6198" t="s">
        <v>2488</v>
      </c>
      <c r="E214" s="6198" t="s">
        <v>2489</v>
      </c>
      <c r="F214" s="6198" t="s">
        <v>2486</v>
      </c>
      <c r="G214" s="6198" t="s">
        <v>28</v>
      </c>
      <c r="H214" s="6198" t="s">
        <v>28</v>
      </c>
      <c r="I214" s="6198" t="s">
        <v>927</v>
      </c>
    </row>
    <row customHeight="1" ht="11.25">
      <c r="A215" s="6198" t="s">
        <v>2323</v>
      </c>
      <c r="B215" s="6198" t="s">
        <v>16</v>
      </c>
      <c r="C215" s="6198" t="s">
        <v>2490</v>
      </c>
      <c r="D215" s="6198" t="s">
        <v>2491</v>
      </c>
      <c r="E215" s="6198" t="s">
        <v>2492</v>
      </c>
      <c r="F215" s="6198" t="s">
        <v>2493</v>
      </c>
      <c r="G215" s="6198" t="s">
        <v>28</v>
      </c>
      <c r="H215" s="6198" t="s">
        <v>28</v>
      </c>
      <c r="I215" s="6198" t="s">
        <v>927</v>
      </c>
    </row>
    <row customHeight="1" ht="11.25">
      <c r="A216" s="6198" t="s">
        <v>2323</v>
      </c>
      <c r="B216" s="6198" t="s">
        <v>16</v>
      </c>
      <c r="C216" s="6198" t="s">
        <v>2855</v>
      </c>
      <c r="D216" s="6198" t="s">
        <v>2856</v>
      </c>
      <c r="E216" s="6198" t="s">
        <v>2857</v>
      </c>
      <c r="F216" s="6198" t="s">
        <v>2425</v>
      </c>
      <c r="G216" s="6198" t="s">
        <v>28</v>
      </c>
      <c r="H216" s="6198" t="s">
        <v>28</v>
      </c>
      <c r="I216" s="6198" t="s">
        <v>927</v>
      </c>
    </row>
    <row customHeight="1" ht="11.25">
      <c r="A217" s="6198" t="s">
        <v>2323</v>
      </c>
      <c r="B217" s="6198" t="s">
        <v>16</v>
      </c>
      <c r="C217" s="6198" t="s">
        <v>2858</v>
      </c>
      <c r="D217" s="6198" t="s">
        <v>2859</v>
      </c>
      <c r="E217" s="6198" t="s">
        <v>2860</v>
      </c>
      <c r="F217" s="6198" t="s">
        <v>2388</v>
      </c>
      <c r="G217" s="6198" t="s">
        <v>2861</v>
      </c>
      <c r="H217" s="6198" t="s">
        <v>28</v>
      </c>
      <c r="I217" s="6198" t="s">
        <v>927</v>
      </c>
    </row>
    <row customHeight="1" ht="11.25">
      <c r="A218" s="6198" t="s">
        <v>2323</v>
      </c>
      <c r="B218" s="6198" t="s">
        <v>16</v>
      </c>
      <c r="C218" s="6198" t="s">
        <v>2862</v>
      </c>
      <c r="D218" s="6198" t="s">
        <v>2863</v>
      </c>
      <c r="E218" s="6198" t="s">
        <v>2864</v>
      </c>
      <c r="F218" s="6198" t="s">
        <v>2446</v>
      </c>
      <c r="G218" s="6198" t="s">
        <v>2865</v>
      </c>
      <c r="H218" s="6198" t="s">
        <v>28</v>
      </c>
      <c r="I218" s="6198" t="s">
        <v>927</v>
      </c>
    </row>
    <row customHeight="1" ht="11.25">
      <c r="A219" s="6198" t="s">
        <v>2323</v>
      </c>
      <c r="B219" s="6198" t="s">
        <v>16</v>
      </c>
      <c r="C219" s="6198" t="s">
        <v>2494</v>
      </c>
      <c r="D219" s="6198" t="s">
        <v>2495</v>
      </c>
      <c r="E219" s="6198" t="s">
        <v>2496</v>
      </c>
      <c r="F219" s="6198" t="s">
        <v>2359</v>
      </c>
      <c r="G219" s="6198" t="s">
        <v>28</v>
      </c>
      <c r="H219" s="6198" t="s">
        <v>28</v>
      </c>
      <c r="I219" s="6198" t="s">
        <v>927</v>
      </c>
    </row>
    <row customHeight="1" ht="11.25">
      <c r="A220" s="6198" t="s">
        <v>2323</v>
      </c>
      <c r="B220" s="6198" t="s">
        <v>16</v>
      </c>
      <c r="C220" s="6198" t="s">
        <v>2866</v>
      </c>
      <c r="D220" s="6198" t="s">
        <v>2867</v>
      </c>
      <c r="E220" s="6198" t="s">
        <v>2868</v>
      </c>
      <c r="F220" s="6198" t="s">
        <v>2832</v>
      </c>
      <c r="G220" s="6198" t="s">
        <v>28</v>
      </c>
      <c r="H220" s="6198" t="s">
        <v>28</v>
      </c>
      <c r="I220" s="6198" t="s">
        <v>927</v>
      </c>
    </row>
    <row customHeight="1" ht="11.25">
      <c r="A221" s="6198" t="s">
        <v>2323</v>
      </c>
      <c r="B221" s="6198" t="s">
        <v>16</v>
      </c>
      <c r="C221" s="6198" t="s">
        <v>2497</v>
      </c>
      <c r="D221" s="6198" t="s">
        <v>2498</v>
      </c>
      <c r="E221" s="6198" t="s">
        <v>2499</v>
      </c>
      <c r="F221" s="6198" t="s">
        <v>2482</v>
      </c>
      <c r="G221" s="6198" t="s">
        <v>28</v>
      </c>
      <c r="H221" s="6198" t="s">
        <v>28</v>
      </c>
      <c r="I221" s="6198" t="s">
        <v>927</v>
      </c>
    </row>
    <row customHeight="1" ht="11.25">
      <c r="A222" s="6198" t="s">
        <v>2323</v>
      </c>
      <c r="B222" s="6198" t="s">
        <v>16</v>
      </c>
      <c r="C222" s="6198" t="s">
        <v>2869</v>
      </c>
      <c r="D222" s="6198" t="s">
        <v>2870</v>
      </c>
      <c r="E222" s="6198" t="s">
        <v>2871</v>
      </c>
      <c r="F222" s="6198" t="s">
        <v>2388</v>
      </c>
      <c r="G222" s="6198" t="s">
        <v>28</v>
      </c>
      <c r="H222" s="6198" t="s">
        <v>28</v>
      </c>
      <c r="I222" s="6198" t="s">
        <v>927</v>
      </c>
    </row>
    <row customHeight="1" ht="11.25">
      <c r="A223" s="6198" t="s">
        <v>2323</v>
      </c>
      <c r="B223" s="6198" t="s">
        <v>16</v>
      </c>
      <c r="C223" s="6198" t="s">
        <v>2872</v>
      </c>
      <c r="D223" s="6198" t="s">
        <v>2873</v>
      </c>
      <c r="E223" s="6198" t="s">
        <v>2874</v>
      </c>
      <c r="F223" s="6198" t="s">
        <v>2746</v>
      </c>
      <c r="G223" s="6198" t="s">
        <v>28</v>
      </c>
      <c r="H223" s="6198" t="s">
        <v>28</v>
      </c>
      <c r="I223" s="6198" t="s">
        <v>927</v>
      </c>
    </row>
    <row customHeight="1" ht="11.25">
      <c r="A224" s="6198" t="s">
        <v>2323</v>
      </c>
      <c r="B224" s="6198" t="s">
        <v>16</v>
      </c>
      <c r="C224" s="6198" t="s">
        <v>2875</v>
      </c>
      <c r="D224" s="6198" t="s">
        <v>2876</v>
      </c>
      <c r="E224" s="6198" t="s">
        <v>2877</v>
      </c>
      <c r="F224" s="6198" t="s">
        <v>2330</v>
      </c>
      <c r="G224" s="6198" t="s">
        <v>28</v>
      </c>
      <c r="H224" s="6198" t="s">
        <v>28</v>
      </c>
      <c r="I224" s="6198" t="s">
        <v>927</v>
      </c>
    </row>
    <row customHeight="1" ht="11.25">
      <c r="A225" s="6198" t="s">
        <v>2323</v>
      </c>
      <c r="B225" s="6198" t="s">
        <v>16</v>
      </c>
      <c r="C225" s="6198" t="s">
        <v>2500</v>
      </c>
      <c r="D225" s="6198" t="s">
        <v>2501</v>
      </c>
      <c r="E225" s="6198" t="s">
        <v>2502</v>
      </c>
      <c r="F225" s="6198" t="s">
        <v>2503</v>
      </c>
      <c r="G225" s="6198" t="s">
        <v>28</v>
      </c>
      <c r="H225" s="6198" t="s">
        <v>28</v>
      </c>
      <c r="I225" s="6198" t="s">
        <v>927</v>
      </c>
    </row>
    <row customHeight="1" ht="11.25">
      <c r="A226" s="6198" t="s">
        <v>2323</v>
      </c>
      <c r="B226" s="6198" t="s">
        <v>16</v>
      </c>
      <c r="C226" s="6198" t="s">
        <v>2878</v>
      </c>
      <c r="D226" s="6198" t="s">
        <v>2879</v>
      </c>
      <c r="E226" s="6198" t="s">
        <v>2880</v>
      </c>
      <c r="F226" s="6198" t="s">
        <v>2746</v>
      </c>
      <c r="G226" s="6198" t="s">
        <v>28</v>
      </c>
      <c r="H226" s="6198" t="s">
        <v>28</v>
      </c>
      <c r="I226" s="6198" t="s">
        <v>927</v>
      </c>
    </row>
    <row customHeight="1" ht="11.25">
      <c r="A227" s="6198" t="s">
        <v>2323</v>
      </c>
      <c r="B227" s="6198" t="s">
        <v>16</v>
      </c>
      <c r="C227" s="6198" t="s">
        <v>2504</v>
      </c>
      <c r="D227" s="6198" t="s">
        <v>2505</v>
      </c>
      <c r="E227" s="6198" t="s">
        <v>2506</v>
      </c>
      <c r="F227" s="6198" t="s">
        <v>2464</v>
      </c>
      <c r="G227" s="6198" t="s">
        <v>28</v>
      </c>
      <c r="H227" s="6198" t="s">
        <v>28</v>
      </c>
      <c r="I227" s="6198" t="s">
        <v>927</v>
      </c>
    </row>
    <row customHeight="1" ht="11.25">
      <c r="A228" s="6198" t="s">
        <v>2323</v>
      </c>
      <c r="B228" s="6198" t="s">
        <v>16</v>
      </c>
      <c r="C228" s="6198" t="s">
        <v>2514</v>
      </c>
      <c r="D228" s="6198" t="s">
        <v>2515</v>
      </c>
      <c r="E228" s="6198" t="s">
        <v>2516</v>
      </c>
      <c r="F228" s="6198" t="s">
        <v>2517</v>
      </c>
      <c r="G228" s="6198" t="s">
        <v>28</v>
      </c>
      <c r="H228" s="6198" t="s">
        <v>28</v>
      </c>
      <c r="I228" s="6198" t="s">
        <v>927</v>
      </c>
    </row>
    <row customHeight="1" ht="11.25">
      <c r="A229" s="6198" t="s">
        <v>2323</v>
      </c>
      <c r="B229" s="6198" t="s">
        <v>16</v>
      </c>
      <c r="C229" s="6198" t="s">
        <v>2881</v>
      </c>
      <c r="D229" s="6198" t="s">
        <v>2882</v>
      </c>
      <c r="E229" s="6198" t="s">
        <v>50</v>
      </c>
      <c r="F229" s="6198" t="s">
        <v>2883</v>
      </c>
      <c r="G229" s="6198" t="s">
        <v>28</v>
      </c>
      <c r="H229" s="6198" t="s">
        <v>28</v>
      </c>
      <c r="I229" s="6198" t="s">
        <v>927</v>
      </c>
    </row>
    <row customHeight="1" ht="11.25">
      <c r="A230" s="6198" t="s">
        <v>2323</v>
      </c>
      <c r="B230" s="6198" t="s">
        <v>16</v>
      </c>
      <c r="C230" s="6198" t="s">
        <v>2884</v>
      </c>
      <c r="D230" s="6198" t="s">
        <v>2885</v>
      </c>
      <c r="E230" s="6198" t="s">
        <v>2886</v>
      </c>
      <c r="F230" s="6198" t="s">
        <v>2330</v>
      </c>
      <c r="G230" s="6198" t="s">
        <v>28</v>
      </c>
      <c r="H230" s="6198" t="s">
        <v>28</v>
      </c>
      <c r="I230" s="6198" t="s">
        <v>927</v>
      </c>
    </row>
    <row customHeight="1" ht="11.25">
      <c r="A231" s="6198" t="s">
        <v>2323</v>
      </c>
      <c r="B231" s="6198" t="s">
        <v>16</v>
      </c>
      <c r="C231" s="6198" t="s">
        <v>2537</v>
      </c>
      <c r="D231" s="6198" t="s">
        <v>2538</v>
      </c>
      <c r="E231" s="6198" t="s">
        <v>2539</v>
      </c>
      <c r="F231" s="6198" t="s">
        <v>2486</v>
      </c>
      <c r="G231" s="6198" t="s">
        <v>28</v>
      </c>
      <c r="H231" s="6198" t="s">
        <v>28</v>
      </c>
      <c r="I231" s="6198" t="s">
        <v>927</v>
      </c>
    </row>
    <row customHeight="1" ht="11.25">
      <c r="A232" s="6198" t="s">
        <v>2323</v>
      </c>
      <c r="B232" s="6198" t="s">
        <v>16</v>
      </c>
      <c r="C232" s="6198" t="s">
        <v>2887</v>
      </c>
      <c r="D232" s="6198" t="s">
        <v>2888</v>
      </c>
      <c r="E232" s="6198" t="s">
        <v>2889</v>
      </c>
      <c r="F232" s="6198" t="s">
        <v>2359</v>
      </c>
      <c r="G232" s="6198" t="s">
        <v>2890</v>
      </c>
      <c r="H232" s="6198" t="s">
        <v>28</v>
      </c>
      <c r="I232" s="6198" t="s">
        <v>927</v>
      </c>
    </row>
    <row customHeight="1" ht="11.25">
      <c r="A233" s="6198" t="s">
        <v>2323</v>
      </c>
      <c r="B233" s="6198" t="s">
        <v>16</v>
      </c>
      <c r="C233" s="6198" t="s">
        <v>2891</v>
      </c>
      <c r="D233" s="6198" t="s">
        <v>2892</v>
      </c>
      <c r="E233" s="6198" t="s">
        <v>2893</v>
      </c>
      <c r="F233" s="6198" t="s">
        <v>2371</v>
      </c>
      <c r="G233" s="6198" t="s">
        <v>2894</v>
      </c>
      <c r="H233" s="6198" t="s">
        <v>28</v>
      </c>
      <c r="I233" s="6198" t="s">
        <v>927</v>
      </c>
    </row>
    <row customHeight="1" ht="11.25">
      <c r="A234" s="6198" t="s">
        <v>2323</v>
      </c>
      <c r="B234" s="6198" t="s">
        <v>16</v>
      </c>
      <c r="C234" s="6198" t="s">
        <v>2895</v>
      </c>
      <c r="D234" s="6198" t="s">
        <v>2896</v>
      </c>
      <c r="E234" s="6198" t="s">
        <v>2897</v>
      </c>
      <c r="F234" s="6198" t="s">
        <v>2643</v>
      </c>
      <c r="G234" s="6198" t="s">
        <v>2898</v>
      </c>
      <c r="H234" s="6198" t="s">
        <v>28</v>
      </c>
      <c r="I234" s="6198" t="s">
        <v>927</v>
      </c>
    </row>
    <row customHeight="1" ht="11.25">
      <c r="A235" s="6198" t="s">
        <v>2323</v>
      </c>
      <c r="B235" s="6198" t="s">
        <v>16</v>
      </c>
      <c r="C235" s="6198" t="s">
        <v>2899</v>
      </c>
      <c r="D235" s="6198" t="s">
        <v>2900</v>
      </c>
      <c r="E235" s="6198" t="s">
        <v>2901</v>
      </c>
      <c r="F235" s="6198" t="s">
        <v>2902</v>
      </c>
      <c r="G235" s="6198" t="s">
        <v>28</v>
      </c>
      <c r="H235" s="6198" t="s">
        <v>28</v>
      </c>
      <c r="I235" s="6198" t="s">
        <v>927</v>
      </c>
    </row>
    <row customHeight="1" ht="11.25">
      <c r="A236" s="6198" t="s">
        <v>2323</v>
      </c>
      <c r="B236" s="6198" t="s">
        <v>16</v>
      </c>
      <c r="C236" s="6198" t="s">
        <v>2903</v>
      </c>
      <c r="D236" s="6198" t="s">
        <v>2904</v>
      </c>
      <c r="E236" s="6198" t="s">
        <v>2905</v>
      </c>
      <c r="F236" s="6198" t="s">
        <v>2334</v>
      </c>
      <c r="G236" s="6198" t="s">
        <v>2906</v>
      </c>
      <c r="H236" s="6198" t="s">
        <v>28</v>
      </c>
      <c r="I236" s="6198" t="s">
        <v>927</v>
      </c>
    </row>
    <row customHeight="1" ht="11.25">
      <c r="A237" s="6198" t="s">
        <v>2323</v>
      </c>
      <c r="B237" s="6198" t="s">
        <v>16</v>
      </c>
      <c r="C237" s="6198" t="s">
        <v>2907</v>
      </c>
      <c r="D237" s="6198" t="s">
        <v>2908</v>
      </c>
      <c r="E237" s="6198" t="s">
        <v>2909</v>
      </c>
      <c r="F237" s="6198" t="s">
        <v>2351</v>
      </c>
      <c r="G237" s="6198" t="s">
        <v>28</v>
      </c>
      <c r="H237" s="6198" t="s">
        <v>28</v>
      </c>
      <c r="I237" s="6198" t="s">
        <v>927</v>
      </c>
    </row>
    <row customHeight="1" ht="11.25">
      <c r="A238" s="6198" t="s">
        <v>2323</v>
      </c>
      <c r="B238" s="6198" t="s">
        <v>16</v>
      </c>
      <c r="C238" s="6198" t="s">
        <v>2910</v>
      </c>
      <c r="D238" s="6198" t="s">
        <v>2911</v>
      </c>
      <c r="E238" s="6198" t="s">
        <v>2912</v>
      </c>
      <c r="F238" s="6198" t="s">
        <v>2913</v>
      </c>
      <c r="G238" s="6198" t="s">
        <v>28</v>
      </c>
      <c r="H238" s="6198" t="s">
        <v>28</v>
      </c>
      <c r="I238" s="6198" t="s">
        <v>927</v>
      </c>
    </row>
    <row customHeight="1" ht="11.25">
      <c r="A239" s="6198" t="s">
        <v>2323</v>
      </c>
      <c r="B239" s="6198" t="s">
        <v>16</v>
      </c>
      <c r="C239" s="6198" t="s">
        <v>2914</v>
      </c>
      <c r="D239" s="6198" t="s">
        <v>2915</v>
      </c>
      <c r="E239" s="6198" t="s">
        <v>2916</v>
      </c>
      <c r="F239" s="6198" t="s">
        <v>2720</v>
      </c>
      <c r="G239" s="6198" t="s">
        <v>28</v>
      </c>
      <c r="H239" s="6198" t="s">
        <v>28</v>
      </c>
      <c r="I239" s="6198" t="s">
        <v>927</v>
      </c>
    </row>
    <row customHeight="1" ht="11.25">
      <c r="A240" s="6198" t="s">
        <v>2323</v>
      </c>
      <c r="B240" s="6198" t="s">
        <v>16</v>
      </c>
      <c r="C240" s="6198" t="s">
        <v>2917</v>
      </c>
      <c r="D240" s="6198" t="s">
        <v>2918</v>
      </c>
      <c r="E240" s="6198" t="s">
        <v>2919</v>
      </c>
      <c r="F240" s="6198" t="s">
        <v>2746</v>
      </c>
      <c r="G240" s="6198" t="s">
        <v>2920</v>
      </c>
      <c r="H240" s="6198" t="s">
        <v>28</v>
      </c>
      <c r="I240" s="6198" t="s">
        <v>927</v>
      </c>
    </row>
    <row customHeight="1" ht="11.25">
      <c r="A241" s="6198" t="s">
        <v>2323</v>
      </c>
      <c r="B241" s="6198" t="s">
        <v>16</v>
      </c>
      <c r="C241" s="6198" t="s">
        <v>2552</v>
      </c>
      <c r="D241" s="6198" t="s">
        <v>2553</v>
      </c>
      <c r="E241" s="6198" t="s">
        <v>2554</v>
      </c>
      <c r="F241" s="6198" t="s">
        <v>2555</v>
      </c>
      <c r="G241" s="6198" t="s">
        <v>2556</v>
      </c>
      <c r="H241" s="6198" t="s">
        <v>28</v>
      </c>
      <c r="I241" s="6198" t="s">
        <v>927</v>
      </c>
    </row>
    <row customHeight="1" ht="11.25">
      <c r="A242" s="6198" t="s">
        <v>2323</v>
      </c>
      <c r="B242" s="6198" t="s">
        <v>16</v>
      </c>
      <c r="C242" s="6198" t="s">
        <v>2921</v>
      </c>
      <c r="D242" s="6198" t="s">
        <v>2922</v>
      </c>
      <c r="E242" s="6198" t="s">
        <v>2923</v>
      </c>
      <c r="F242" s="6198" t="s">
        <v>2359</v>
      </c>
      <c r="G242" s="6198" t="s">
        <v>28</v>
      </c>
      <c r="H242" s="6198" t="s">
        <v>28</v>
      </c>
      <c r="I242" s="6198" t="s">
        <v>927</v>
      </c>
    </row>
    <row customHeight="1" ht="11.25">
      <c r="A243" s="6198" t="s">
        <v>2323</v>
      </c>
      <c r="B243" s="6198" t="s">
        <v>16</v>
      </c>
      <c r="C243" s="6198" t="s">
        <v>2924</v>
      </c>
      <c r="D243" s="6198" t="s">
        <v>2925</v>
      </c>
      <c r="E243" s="6198" t="s">
        <v>2926</v>
      </c>
      <c r="F243" s="6198" t="s">
        <v>2555</v>
      </c>
      <c r="G243" s="6198" t="s">
        <v>28</v>
      </c>
      <c r="H243" s="6198" t="s">
        <v>28</v>
      </c>
      <c r="I243" s="6198" t="s">
        <v>927</v>
      </c>
    </row>
    <row customHeight="1" ht="11.25">
      <c r="A244" s="6198" t="s">
        <v>2323</v>
      </c>
      <c r="B244" s="6198" t="s">
        <v>16</v>
      </c>
      <c r="C244" s="6198" t="s">
        <v>2927</v>
      </c>
      <c r="D244" s="6198" t="s">
        <v>2928</v>
      </c>
      <c r="E244" s="6198" t="s">
        <v>2929</v>
      </c>
      <c r="F244" s="6198" t="s">
        <v>2326</v>
      </c>
      <c r="G244" s="6198" t="s">
        <v>28</v>
      </c>
      <c r="H244" s="6198" t="s">
        <v>28</v>
      </c>
      <c r="I244" s="6198" t="s">
        <v>927</v>
      </c>
    </row>
    <row customHeight="1" ht="11.25">
      <c r="A245" s="6198" t="s">
        <v>2323</v>
      </c>
      <c r="B245" s="6198" t="s">
        <v>16</v>
      </c>
      <c r="C245" s="6198" t="s">
        <v>2565</v>
      </c>
      <c r="D245" s="6198" t="s">
        <v>2566</v>
      </c>
      <c r="E245" s="6198" t="s">
        <v>2567</v>
      </c>
      <c r="F245" s="6198" t="s">
        <v>2568</v>
      </c>
      <c r="G245" s="6198" t="s">
        <v>28</v>
      </c>
      <c r="H245" s="6198" t="s">
        <v>28</v>
      </c>
      <c r="I245" s="6198" t="s">
        <v>927</v>
      </c>
    </row>
    <row customHeight="1" ht="11.25">
      <c r="A246" s="6198" t="s">
        <v>2323</v>
      </c>
      <c r="B246" s="6198" t="s">
        <v>16</v>
      </c>
      <c r="C246" s="6198" t="s">
        <v>2930</v>
      </c>
      <c r="D246" s="6198" t="s">
        <v>2931</v>
      </c>
      <c r="E246" s="6198" t="s">
        <v>2932</v>
      </c>
      <c r="F246" s="6198" t="s">
        <v>2330</v>
      </c>
      <c r="G246" s="6198" t="s">
        <v>28</v>
      </c>
      <c r="H246" s="6198" t="s">
        <v>28</v>
      </c>
      <c r="I246" s="6198" t="s">
        <v>927</v>
      </c>
    </row>
    <row customHeight="1" ht="11.25">
      <c r="A247" s="6198" t="s">
        <v>2323</v>
      </c>
      <c r="B247" s="6198" t="s">
        <v>16</v>
      </c>
      <c r="C247" s="6198" t="s">
        <v>2569</v>
      </c>
      <c r="D247" s="6198" t="s">
        <v>2570</v>
      </c>
      <c r="E247" s="6198" t="s">
        <v>2571</v>
      </c>
      <c r="F247" s="6198" t="s">
        <v>2555</v>
      </c>
      <c r="G247" s="6198" t="s">
        <v>28</v>
      </c>
      <c r="H247" s="6198" t="s">
        <v>28</v>
      </c>
      <c r="I247" s="6198" t="s">
        <v>927</v>
      </c>
    </row>
    <row customHeight="1" ht="11.25">
      <c r="A248" s="6198" t="s">
        <v>2323</v>
      </c>
      <c r="B248" s="6198" t="s">
        <v>16</v>
      </c>
      <c r="C248" s="6198" t="s">
        <v>2575</v>
      </c>
      <c r="D248" s="6198" t="s">
        <v>2576</v>
      </c>
      <c r="E248" s="6198" t="s">
        <v>2577</v>
      </c>
      <c r="F248" s="6198" t="s">
        <v>2555</v>
      </c>
      <c r="G248" s="6198" t="s">
        <v>28</v>
      </c>
      <c r="H248" s="6198" t="s">
        <v>28</v>
      </c>
      <c r="I248" s="6198" t="s">
        <v>927</v>
      </c>
    </row>
    <row customHeight="1" ht="11.25">
      <c r="A249" s="6198" t="s">
        <v>2323</v>
      </c>
      <c r="B249" s="6198" t="s">
        <v>16</v>
      </c>
      <c r="C249" s="6198" t="s">
        <v>2933</v>
      </c>
      <c r="D249" s="6198" t="s">
        <v>2934</v>
      </c>
      <c r="E249" s="6198" t="s">
        <v>2935</v>
      </c>
      <c r="F249" s="6198" t="s">
        <v>2555</v>
      </c>
      <c r="G249" s="6198" t="s">
        <v>28</v>
      </c>
      <c r="H249" s="6198" t="s">
        <v>28</v>
      </c>
      <c r="I249" s="6198" t="s">
        <v>927</v>
      </c>
    </row>
    <row customHeight="1" ht="11.25">
      <c r="A250" s="6198" t="s">
        <v>2323</v>
      </c>
      <c r="B250" s="6198" t="s">
        <v>16</v>
      </c>
      <c r="C250" s="6198" t="s">
        <v>2936</v>
      </c>
      <c r="D250" s="6198" t="s">
        <v>2937</v>
      </c>
      <c r="E250" s="6198" t="s">
        <v>2938</v>
      </c>
      <c r="F250" s="6198" t="s">
        <v>2503</v>
      </c>
      <c r="G250" s="6198" t="s">
        <v>2939</v>
      </c>
      <c r="H250" s="6198" t="s">
        <v>28</v>
      </c>
      <c r="I250" s="6198" t="s">
        <v>927</v>
      </c>
    </row>
    <row customHeight="1" ht="11.25">
      <c r="A251" s="6198" t="s">
        <v>2323</v>
      </c>
      <c r="B251" s="6198" t="s">
        <v>16</v>
      </c>
      <c r="C251" s="6198" t="s">
        <v>2940</v>
      </c>
      <c r="D251" s="6198" t="s">
        <v>2941</v>
      </c>
      <c r="E251" s="6198" t="s">
        <v>2942</v>
      </c>
      <c r="F251" s="6198" t="s">
        <v>2330</v>
      </c>
      <c r="G251" s="6198" t="s">
        <v>2943</v>
      </c>
      <c r="H251" s="6198" t="s">
        <v>28</v>
      </c>
      <c r="I251" s="6198" t="s">
        <v>927</v>
      </c>
    </row>
    <row customHeight="1" ht="11.25">
      <c r="A252" s="6198" t="s">
        <v>2323</v>
      </c>
      <c r="B252" s="6198" t="s">
        <v>16</v>
      </c>
      <c r="C252" s="6198" t="s">
        <v>2944</v>
      </c>
      <c r="D252" s="6198" t="s">
        <v>2945</v>
      </c>
      <c r="E252" s="6198" t="s">
        <v>2946</v>
      </c>
      <c r="F252" s="6198" t="s">
        <v>2454</v>
      </c>
      <c r="G252" s="6198" t="s">
        <v>28</v>
      </c>
      <c r="H252" s="6198" t="s">
        <v>28</v>
      </c>
      <c r="I252" s="6198" t="s">
        <v>927</v>
      </c>
    </row>
    <row customHeight="1" ht="11.25">
      <c r="A253" s="6198" t="s">
        <v>2323</v>
      </c>
      <c r="B253" s="6198" t="s">
        <v>16</v>
      </c>
      <c r="C253" s="6198" t="s">
        <v>2947</v>
      </c>
      <c r="D253" s="6198" t="s">
        <v>2948</v>
      </c>
      <c r="E253" s="6198" t="s">
        <v>2949</v>
      </c>
      <c r="F253" s="6198" t="s">
        <v>2746</v>
      </c>
      <c r="G253" s="6198" t="s">
        <v>2950</v>
      </c>
      <c r="H253" s="6198" t="s">
        <v>28</v>
      </c>
      <c r="I253" s="6198" t="s">
        <v>927</v>
      </c>
    </row>
    <row customHeight="1" ht="11.25">
      <c r="A254" s="6198" t="s">
        <v>2323</v>
      </c>
      <c r="B254" s="6198" t="s">
        <v>16</v>
      </c>
      <c r="C254" s="6198" t="s">
        <v>2951</v>
      </c>
      <c r="D254" s="6198" t="s">
        <v>2952</v>
      </c>
      <c r="E254" s="6198" t="s">
        <v>2953</v>
      </c>
      <c r="F254" s="6198" t="s">
        <v>2380</v>
      </c>
      <c r="G254" s="6198" t="s">
        <v>2954</v>
      </c>
      <c r="H254" s="6198" t="s">
        <v>28</v>
      </c>
      <c r="I254" s="6198" t="s">
        <v>927</v>
      </c>
    </row>
    <row customHeight="1" ht="11.25">
      <c r="A255" s="6198" t="s">
        <v>2323</v>
      </c>
      <c r="B255" s="6198" t="s">
        <v>16</v>
      </c>
      <c r="C255" s="6198" t="s">
        <v>2955</v>
      </c>
      <c r="D255" s="6198" t="s">
        <v>2956</v>
      </c>
      <c r="E255" s="6198" t="s">
        <v>2957</v>
      </c>
      <c r="F255" s="6198" t="s">
        <v>2643</v>
      </c>
      <c r="G255" s="6198" t="s">
        <v>2958</v>
      </c>
      <c r="H255" s="6198" t="s">
        <v>28</v>
      </c>
      <c r="I255" s="6198" t="s">
        <v>927</v>
      </c>
    </row>
    <row customHeight="1" ht="11.25">
      <c r="A256" s="6198" t="s">
        <v>2323</v>
      </c>
      <c r="B256" s="6198" t="s">
        <v>16</v>
      </c>
      <c r="C256" s="6198" t="s">
        <v>2587</v>
      </c>
      <c r="D256" s="6198" t="s">
        <v>2588</v>
      </c>
      <c r="E256" s="6198" t="s">
        <v>2589</v>
      </c>
      <c r="F256" s="6198" t="s">
        <v>2555</v>
      </c>
      <c r="G256" s="6198" t="s">
        <v>28</v>
      </c>
      <c r="H256" s="6198" t="s">
        <v>28</v>
      </c>
      <c r="I256" s="6198" t="s">
        <v>927</v>
      </c>
    </row>
    <row customHeight="1" ht="11.25">
      <c r="A257" s="6198" t="s">
        <v>2323</v>
      </c>
      <c r="B257" s="6198" t="s">
        <v>16</v>
      </c>
      <c r="C257" s="6198" t="s">
        <v>2959</v>
      </c>
      <c r="D257" s="6198" t="s">
        <v>2960</v>
      </c>
      <c r="E257" s="6198" t="s">
        <v>2961</v>
      </c>
      <c r="F257" s="6198" t="s">
        <v>2503</v>
      </c>
      <c r="G257" s="6198" t="s">
        <v>28</v>
      </c>
      <c r="H257" s="6198" t="s">
        <v>28</v>
      </c>
      <c r="I257" s="6198" t="s">
        <v>927</v>
      </c>
    </row>
    <row customHeight="1" ht="11.25">
      <c r="A258" s="6198" t="s">
        <v>2323</v>
      </c>
      <c r="B258" s="6198" t="s">
        <v>16</v>
      </c>
      <c r="C258" s="6198" t="s">
        <v>2600</v>
      </c>
      <c r="D258" s="6198" t="s">
        <v>2601</v>
      </c>
      <c r="E258" s="6198" t="s">
        <v>2602</v>
      </c>
      <c r="F258" s="6198" t="s">
        <v>2359</v>
      </c>
      <c r="G258" s="6198" t="s">
        <v>28</v>
      </c>
      <c r="H258" s="6198" t="s">
        <v>28</v>
      </c>
      <c r="I258" s="6198" t="s">
        <v>927</v>
      </c>
    </row>
    <row customHeight="1" ht="11.25">
      <c r="A259" s="6198" t="s">
        <v>2323</v>
      </c>
      <c r="B259" s="6198" t="s">
        <v>16</v>
      </c>
      <c r="C259" s="6198" t="s">
        <v>2603</v>
      </c>
      <c r="D259" s="6198" t="s">
        <v>2604</v>
      </c>
      <c r="E259" s="6198" t="s">
        <v>2605</v>
      </c>
      <c r="F259" s="6198" t="s">
        <v>2330</v>
      </c>
      <c r="G259" s="6198" t="s">
        <v>28</v>
      </c>
      <c r="H259" s="6198" t="s">
        <v>28</v>
      </c>
      <c r="I259" s="6198" t="s">
        <v>927</v>
      </c>
    </row>
    <row customHeight="1" ht="11.25">
      <c r="A260" s="6198" t="s">
        <v>2323</v>
      </c>
      <c r="B260" s="6198" t="s">
        <v>16</v>
      </c>
      <c r="C260" s="6198" t="s">
        <v>2618</v>
      </c>
      <c r="D260" s="6198" t="s">
        <v>2619</v>
      </c>
      <c r="E260" s="6198" t="s">
        <v>2620</v>
      </c>
      <c r="F260" s="6198" t="s">
        <v>2524</v>
      </c>
      <c r="G260" s="6198" t="s">
        <v>2621</v>
      </c>
      <c r="H260" s="6198" t="s">
        <v>28</v>
      </c>
      <c r="I260" s="6198" t="s">
        <v>927</v>
      </c>
    </row>
    <row customHeight="1" ht="11.25">
      <c r="A261" s="6198" t="s">
        <v>2323</v>
      </c>
      <c r="B261" s="6198" t="s">
        <v>16</v>
      </c>
      <c r="C261" s="6198" t="s">
        <v>2962</v>
      </c>
      <c r="D261" s="6198" t="s">
        <v>2963</v>
      </c>
      <c r="E261" s="6198" t="s">
        <v>2964</v>
      </c>
      <c r="F261" s="6198" t="s">
        <v>2510</v>
      </c>
      <c r="G261" s="6198" t="s">
        <v>28</v>
      </c>
      <c r="H261" s="6198" t="s">
        <v>28</v>
      </c>
      <c r="I261" s="6198" t="s">
        <v>927</v>
      </c>
    </row>
    <row customHeight="1" ht="11.25">
      <c r="A262" s="6198" t="s">
        <v>2323</v>
      </c>
      <c r="B262" s="6198" t="s">
        <v>16</v>
      </c>
      <c r="C262" s="6198" t="s">
        <v>2965</v>
      </c>
      <c r="D262" s="6198" t="s">
        <v>2966</v>
      </c>
      <c r="E262" s="6198" t="s">
        <v>2967</v>
      </c>
      <c r="F262" s="6198" t="s">
        <v>2454</v>
      </c>
      <c r="G262" s="6198" t="s">
        <v>28</v>
      </c>
      <c r="H262" s="6198" t="s">
        <v>28</v>
      </c>
      <c r="I262" s="6198" t="s">
        <v>927</v>
      </c>
    </row>
    <row customHeight="1" ht="11.25">
      <c r="A263" s="6198" t="s">
        <v>2323</v>
      </c>
      <c r="B263" s="6198" t="s">
        <v>16</v>
      </c>
      <c r="C263" s="6198" t="s">
        <v>2634</v>
      </c>
      <c r="D263" s="6198" t="s">
        <v>2635</v>
      </c>
      <c r="E263" s="6198" t="s">
        <v>2636</v>
      </c>
      <c r="F263" s="6198" t="s">
        <v>2330</v>
      </c>
      <c r="G263" s="6198" t="s">
        <v>28</v>
      </c>
      <c r="H263" s="6198" t="s">
        <v>28</v>
      </c>
      <c r="I263" s="6198" t="s">
        <v>927</v>
      </c>
    </row>
    <row customHeight="1" ht="11.25">
      <c r="A264" s="6198" t="s">
        <v>2323</v>
      </c>
      <c r="B264" s="6198" t="s">
        <v>16</v>
      </c>
      <c r="C264" s="6198" t="s">
        <v>2968</v>
      </c>
      <c r="D264" s="6198" t="s">
        <v>2969</v>
      </c>
      <c r="E264" s="6198" t="s">
        <v>2970</v>
      </c>
      <c r="F264" s="6198" t="s">
        <v>2971</v>
      </c>
      <c r="G264" s="6198" t="s">
        <v>28</v>
      </c>
      <c r="H264" s="6198" t="s">
        <v>28</v>
      </c>
      <c r="I264" s="6198" t="s">
        <v>927</v>
      </c>
    </row>
    <row customHeight="1" ht="11.25">
      <c r="A265" s="6198" t="s">
        <v>2323</v>
      </c>
      <c r="B265" s="6198" t="s">
        <v>16</v>
      </c>
      <c r="C265" s="6198" t="s">
        <v>2972</v>
      </c>
      <c r="D265" s="6198" t="s">
        <v>2973</v>
      </c>
      <c r="E265" s="6198" t="s">
        <v>2974</v>
      </c>
      <c r="F265" s="6198" t="s">
        <v>2524</v>
      </c>
      <c r="G265" s="6198" t="s">
        <v>28</v>
      </c>
      <c r="H265" s="6198" t="s">
        <v>28</v>
      </c>
      <c r="I265" s="6198" t="s">
        <v>927</v>
      </c>
    </row>
    <row customHeight="1" ht="11.25">
      <c r="A266" s="6198" t="s">
        <v>2323</v>
      </c>
      <c r="B266" s="6198" t="s">
        <v>16</v>
      </c>
      <c r="C266" s="6198" t="s">
        <v>2975</v>
      </c>
      <c r="D266" s="6198" t="s">
        <v>2976</v>
      </c>
      <c r="E266" s="6198" t="s">
        <v>2977</v>
      </c>
      <c r="F266" s="6198" t="s">
        <v>2351</v>
      </c>
      <c r="G266" s="6198" t="s">
        <v>28</v>
      </c>
      <c r="H266" s="6198" t="s">
        <v>28</v>
      </c>
      <c r="I266" s="6198" t="s">
        <v>927</v>
      </c>
    </row>
    <row customHeight="1" ht="11.25">
      <c r="A267" s="6198" t="s">
        <v>2323</v>
      </c>
      <c r="B267" s="6198" t="s">
        <v>16</v>
      </c>
      <c r="C267" s="6198" t="s">
        <v>2637</v>
      </c>
      <c r="D267" s="6198" t="s">
        <v>2638</v>
      </c>
      <c r="E267" s="6198" t="s">
        <v>2639</v>
      </c>
      <c r="F267" s="6198" t="s">
        <v>2503</v>
      </c>
      <c r="G267" s="6198" t="s">
        <v>2381</v>
      </c>
      <c r="H267" s="6198" t="s">
        <v>28</v>
      </c>
      <c r="I267" s="6198" t="s">
        <v>927</v>
      </c>
    </row>
    <row customHeight="1" ht="11.25">
      <c r="A268" s="6198" t="s">
        <v>2323</v>
      </c>
      <c r="B268" s="6198" t="s">
        <v>16</v>
      </c>
      <c r="C268" s="6198" t="s">
        <v>2978</v>
      </c>
      <c r="D268" s="6198" t="s">
        <v>2979</v>
      </c>
      <c r="E268" s="6198" t="s">
        <v>2980</v>
      </c>
      <c r="F268" s="6198" t="s">
        <v>2503</v>
      </c>
      <c r="G268" s="6198" t="s">
        <v>28</v>
      </c>
      <c r="H268" s="6198" t="s">
        <v>28</v>
      </c>
      <c r="I268" s="6198" t="s">
        <v>927</v>
      </c>
    </row>
    <row customHeight="1" ht="11.25">
      <c r="A269" s="6198" t="s">
        <v>2323</v>
      </c>
      <c r="B269" s="6198" t="s">
        <v>16</v>
      </c>
      <c r="C269" s="6198" t="s">
        <v>2647</v>
      </c>
      <c r="D269" s="6198" t="s">
        <v>2648</v>
      </c>
      <c r="E269" s="6198" t="s">
        <v>2649</v>
      </c>
      <c r="F269" s="6198" t="s">
        <v>2650</v>
      </c>
      <c r="G269" s="6198" t="s">
        <v>28</v>
      </c>
      <c r="H269" s="6198" t="s">
        <v>28</v>
      </c>
      <c r="I269" s="6198" t="s">
        <v>927</v>
      </c>
    </row>
    <row customHeight="1" ht="11.25">
      <c r="A270" s="6198" t="s">
        <v>2323</v>
      </c>
      <c r="B270" s="6198" t="s">
        <v>16</v>
      </c>
      <c r="C270" s="6198" t="s">
        <v>2981</v>
      </c>
      <c r="D270" s="6198" t="s">
        <v>2982</v>
      </c>
      <c r="E270" s="6198" t="s">
        <v>2983</v>
      </c>
      <c r="F270" s="6198" t="s">
        <v>2380</v>
      </c>
      <c r="G270" s="6198" t="s">
        <v>28</v>
      </c>
      <c r="H270" s="6198" t="s">
        <v>28</v>
      </c>
      <c r="I270" s="6198" t="s">
        <v>927</v>
      </c>
    </row>
    <row customHeight="1" ht="11.25">
      <c r="A271" s="6198" t="s">
        <v>2323</v>
      </c>
      <c r="B271" s="6198" t="s">
        <v>16</v>
      </c>
      <c r="C271" s="6198" t="s">
        <v>2661</v>
      </c>
      <c r="D271" s="6198" t="s">
        <v>2662</v>
      </c>
      <c r="E271" s="6198" t="s">
        <v>2663</v>
      </c>
      <c r="F271" s="6198" t="s">
        <v>2664</v>
      </c>
      <c r="G271" s="6198" t="s">
        <v>28</v>
      </c>
      <c r="H271" s="6198" t="s">
        <v>28</v>
      </c>
      <c r="I271" s="6198" t="s">
        <v>927</v>
      </c>
    </row>
    <row customHeight="1" ht="11.25">
      <c r="A272" s="6198" t="s">
        <v>2323</v>
      </c>
      <c r="B272" s="6198" t="s">
        <v>16</v>
      </c>
      <c r="C272" s="6198" t="s">
        <v>2984</v>
      </c>
      <c r="D272" s="6198" t="s">
        <v>2985</v>
      </c>
      <c r="E272" s="6198" t="s">
        <v>2986</v>
      </c>
      <c r="F272" s="6198" t="s">
        <v>2351</v>
      </c>
      <c r="G272" s="6198" t="s">
        <v>28</v>
      </c>
      <c r="H272" s="6198" t="s">
        <v>28</v>
      </c>
      <c r="I272" s="6198" t="s">
        <v>927</v>
      </c>
    </row>
    <row customHeight="1" ht="11.25">
      <c r="A273" s="6198" t="s">
        <v>2323</v>
      </c>
      <c r="B273" s="6198" t="s">
        <v>16</v>
      </c>
      <c r="C273" s="6198" t="s">
        <v>2987</v>
      </c>
      <c r="D273" s="6198" t="s">
        <v>2988</v>
      </c>
      <c r="E273" s="6198" t="s">
        <v>2989</v>
      </c>
      <c r="F273" s="6198" t="s">
        <v>2555</v>
      </c>
      <c r="G273" s="6198" t="s">
        <v>28</v>
      </c>
      <c r="H273" s="6198" t="s">
        <v>28</v>
      </c>
      <c r="I273" s="6198" t="s">
        <v>927</v>
      </c>
    </row>
    <row customHeight="1" ht="11.25">
      <c r="A274" s="6198" t="s">
        <v>2323</v>
      </c>
      <c r="B274" s="6198" t="s">
        <v>16</v>
      </c>
      <c r="C274" s="6198" t="s">
        <v>2990</v>
      </c>
      <c r="D274" s="6198" t="s">
        <v>2991</v>
      </c>
      <c r="E274" s="6198" t="s">
        <v>2992</v>
      </c>
      <c r="F274" s="6198" t="s">
        <v>2330</v>
      </c>
      <c r="G274" s="6198" t="s">
        <v>28</v>
      </c>
      <c r="H274" s="6198" t="s">
        <v>28</v>
      </c>
      <c r="I274" s="6198" t="s">
        <v>927</v>
      </c>
    </row>
    <row customHeight="1" ht="11.25">
      <c r="A275" s="6198" t="s">
        <v>2323</v>
      </c>
      <c r="B275" s="6198" t="s">
        <v>16</v>
      </c>
      <c r="C275" s="6198" t="s">
        <v>2993</v>
      </c>
      <c r="D275" s="6198" t="s">
        <v>2994</v>
      </c>
      <c r="E275" s="6198" t="s">
        <v>2995</v>
      </c>
      <c r="F275" s="6198" t="s">
        <v>2650</v>
      </c>
      <c r="G275" s="6198" t="s">
        <v>28</v>
      </c>
      <c r="H275" s="6198" t="s">
        <v>28</v>
      </c>
      <c r="I275" s="6198" t="s">
        <v>927</v>
      </c>
    </row>
    <row customHeight="1" ht="11.25">
      <c r="A276" s="6198" t="s">
        <v>2323</v>
      </c>
      <c r="B276" s="6198" t="s">
        <v>16</v>
      </c>
      <c r="C276" s="6198" t="s">
        <v>2996</v>
      </c>
      <c r="D276" s="6198" t="s">
        <v>2997</v>
      </c>
      <c r="E276" s="6198" t="s">
        <v>2998</v>
      </c>
      <c r="F276" s="6198" t="s">
        <v>2425</v>
      </c>
      <c r="G276" s="6198" t="s">
        <v>28</v>
      </c>
      <c r="H276" s="6198" t="s">
        <v>28</v>
      </c>
      <c r="I276" s="6198" t="s">
        <v>927</v>
      </c>
    </row>
    <row customHeight="1" ht="11.25">
      <c r="A277" s="6198" t="s">
        <v>2323</v>
      </c>
      <c r="B277" s="6198" t="s">
        <v>16</v>
      </c>
      <c r="C277" s="6198" t="s">
        <v>2999</v>
      </c>
      <c r="D277" s="6198" t="s">
        <v>3000</v>
      </c>
      <c r="E277" s="6198" t="s">
        <v>3001</v>
      </c>
      <c r="F277" s="6198" t="s">
        <v>2326</v>
      </c>
      <c r="G277" s="6198" t="s">
        <v>28</v>
      </c>
      <c r="H277" s="6198" t="s">
        <v>28</v>
      </c>
      <c r="I277" s="6198" t="s">
        <v>927</v>
      </c>
    </row>
    <row customHeight="1" ht="11.25">
      <c r="A278" s="6198" t="s">
        <v>2323</v>
      </c>
      <c r="B278" s="6198" t="s">
        <v>16</v>
      </c>
      <c r="C278" s="6198" t="s">
        <v>3002</v>
      </c>
      <c r="D278" s="6198" t="s">
        <v>3003</v>
      </c>
      <c r="E278" s="6198" t="s">
        <v>3004</v>
      </c>
      <c r="F278" s="6198" t="s">
        <v>2380</v>
      </c>
      <c r="G278" s="6198" t="s">
        <v>28</v>
      </c>
      <c r="H278" s="6198" t="s">
        <v>28</v>
      </c>
      <c r="I278" s="6198" t="s">
        <v>927</v>
      </c>
    </row>
    <row customHeight="1" ht="11.25">
      <c r="A279" s="6198" t="s">
        <v>2323</v>
      </c>
      <c r="B279" s="6198" t="s">
        <v>16</v>
      </c>
      <c r="C279" s="6198" t="s">
        <v>3005</v>
      </c>
      <c r="D279" s="6198" t="s">
        <v>3006</v>
      </c>
      <c r="E279" s="6198" t="s">
        <v>3007</v>
      </c>
      <c r="F279" s="6198" t="s">
        <v>2371</v>
      </c>
      <c r="G279" s="6198" t="s">
        <v>3008</v>
      </c>
      <c r="H279" s="6198" t="s">
        <v>28</v>
      </c>
      <c r="I279" s="6198" t="s">
        <v>927</v>
      </c>
    </row>
    <row customHeight="1" ht="11.25">
      <c r="A280" s="6198" t="s">
        <v>2323</v>
      </c>
      <c r="B280" s="6198" t="s">
        <v>16</v>
      </c>
      <c r="C280" s="6198" t="s">
        <v>3009</v>
      </c>
      <c r="D280" s="6198" t="s">
        <v>3010</v>
      </c>
      <c r="E280" s="6198" t="s">
        <v>2325</v>
      </c>
      <c r="F280" s="6198" t="s">
        <v>2326</v>
      </c>
      <c r="G280" s="6198" t="s">
        <v>28</v>
      </c>
      <c r="H280" s="6198" t="s">
        <v>28</v>
      </c>
      <c r="I280" s="6198" t="s">
        <v>927</v>
      </c>
    </row>
    <row customHeight="1" ht="11.25">
      <c r="A281" s="6198" t="s">
        <v>2323</v>
      </c>
      <c r="B281" s="6198" t="s">
        <v>16</v>
      </c>
      <c r="C281" s="6198" t="s">
        <v>3011</v>
      </c>
      <c r="D281" s="6198" t="s">
        <v>3012</v>
      </c>
      <c r="E281" s="6198" t="s">
        <v>3013</v>
      </c>
      <c r="F281" s="6198" t="s">
        <v>2330</v>
      </c>
      <c r="G281" s="6198" t="s">
        <v>28</v>
      </c>
      <c r="H281" s="6198" t="s">
        <v>28</v>
      </c>
      <c r="I281" s="6198" t="s">
        <v>927</v>
      </c>
    </row>
    <row customHeight="1" ht="11.25">
      <c r="A282" s="6198" t="s">
        <v>2323</v>
      </c>
      <c r="B282" s="6198" t="s">
        <v>16</v>
      </c>
      <c r="C282" s="6198" t="s">
        <v>3014</v>
      </c>
      <c r="D282" s="6198" t="s">
        <v>3015</v>
      </c>
      <c r="E282" s="6198" t="s">
        <v>3016</v>
      </c>
      <c r="F282" s="6198" t="s">
        <v>2330</v>
      </c>
      <c r="G282" s="6198" t="s">
        <v>28</v>
      </c>
      <c r="H282" s="6198" t="s">
        <v>28</v>
      </c>
      <c r="I282" s="6198" t="s">
        <v>927</v>
      </c>
    </row>
    <row customHeight="1" ht="11.25">
      <c r="A283" s="6198" t="s">
        <v>2323</v>
      </c>
      <c r="B283" s="6198" t="s">
        <v>16</v>
      </c>
      <c r="C283" s="6198" t="s">
        <v>2668</v>
      </c>
      <c r="D283" s="6198" t="s">
        <v>2669</v>
      </c>
      <c r="E283" s="6198" t="s">
        <v>2670</v>
      </c>
      <c r="F283" s="6198" t="s">
        <v>2338</v>
      </c>
      <c r="G283" s="6198" t="s">
        <v>28</v>
      </c>
      <c r="H283" s="6198" t="s">
        <v>28</v>
      </c>
      <c r="I283" s="6198" t="s">
        <v>927</v>
      </c>
    </row>
    <row customHeight="1" ht="11.25">
      <c r="A284" s="6198" t="s">
        <v>2323</v>
      </c>
      <c r="B284" s="6198" t="s">
        <v>16</v>
      </c>
      <c r="C284" s="6198" t="s">
        <v>2679</v>
      </c>
      <c r="D284" s="6198" t="s">
        <v>2680</v>
      </c>
      <c r="E284" s="6198" t="s">
        <v>2681</v>
      </c>
      <c r="F284" s="6198" t="s">
        <v>2650</v>
      </c>
      <c r="G284" s="6198" t="s">
        <v>2682</v>
      </c>
      <c r="H284" s="6198" t="s">
        <v>28</v>
      </c>
      <c r="I284" s="6198" t="s">
        <v>927</v>
      </c>
    </row>
    <row customHeight="1" ht="11.25">
      <c r="A285" s="6198" t="s">
        <v>2323</v>
      </c>
      <c r="B285" s="6198" t="s">
        <v>16</v>
      </c>
      <c r="C285" s="6198" t="s">
        <v>2683</v>
      </c>
      <c r="D285" s="6198" t="s">
        <v>2684</v>
      </c>
      <c r="E285" s="6198" t="s">
        <v>2685</v>
      </c>
      <c r="F285" s="6198" t="s">
        <v>2371</v>
      </c>
      <c r="G285" s="6198" t="s">
        <v>2686</v>
      </c>
      <c r="H285" s="6198" t="s">
        <v>28</v>
      </c>
      <c r="I285" s="6198" t="s">
        <v>927</v>
      </c>
    </row>
    <row customHeight="1" ht="11.25">
      <c r="A286" s="6198" t="s">
        <v>2323</v>
      </c>
      <c r="B286" s="6198" t="s">
        <v>16</v>
      </c>
      <c r="C286" s="6198" t="s">
        <v>3017</v>
      </c>
      <c r="D286" s="6198" t="s">
        <v>3018</v>
      </c>
      <c r="E286" s="6198" t="s">
        <v>3019</v>
      </c>
      <c r="F286" s="6198" t="s">
        <v>2425</v>
      </c>
      <c r="G286" s="6198" t="s">
        <v>28</v>
      </c>
      <c r="H286" s="6198" t="s">
        <v>28</v>
      </c>
      <c r="I286" s="6198" t="s">
        <v>927</v>
      </c>
    </row>
    <row customHeight="1" ht="11.25">
      <c r="A287" s="6198" t="s">
        <v>2323</v>
      </c>
      <c r="B287" s="6198" t="s">
        <v>16</v>
      </c>
      <c r="C287" s="6198" t="s">
        <v>3020</v>
      </c>
      <c r="D287" s="6198" t="s">
        <v>3021</v>
      </c>
      <c r="E287" s="6198" t="s">
        <v>3022</v>
      </c>
      <c r="F287" s="6198" t="s">
        <v>2555</v>
      </c>
      <c r="G287" s="6198" t="s">
        <v>28</v>
      </c>
      <c r="H287" s="6198" t="s">
        <v>28</v>
      </c>
      <c r="I287" s="6198" t="s">
        <v>927</v>
      </c>
    </row>
    <row customHeight="1" ht="11.25">
      <c r="A288" s="6198" t="s">
        <v>2323</v>
      </c>
      <c r="B288" s="6198" t="s">
        <v>16</v>
      </c>
      <c r="C288" s="6198" t="s">
        <v>3023</v>
      </c>
      <c r="D288" s="6198" t="s">
        <v>3024</v>
      </c>
      <c r="E288" s="6198" t="s">
        <v>3025</v>
      </c>
      <c r="F288" s="6198" t="s">
        <v>3026</v>
      </c>
      <c r="G288" s="6198" t="s">
        <v>28</v>
      </c>
      <c r="H288" s="6198" t="s">
        <v>28</v>
      </c>
      <c r="I288" s="6198" t="s">
        <v>927</v>
      </c>
    </row>
    <row customHeight="1" ht="11.25">
      <c r="A289" s="6198" t="s">
        <v>2323</v>
      </c>
      <c r="B289" s="6198" t="s">
        <v>16</v>
      </c>
      <c r="C289" s="6198" t="s">
        <v>3027</v>
      </c>
      <c r="D289" s="6198" t="s">
        <v>3028</v>
      </c>
      <c r="E289" s="6198" t="s">
        <v>3029</v>
      </c>
      <c r="F289" s="6198" t="s">
        <v>2454</v>
      </c>
      <c r="G289" s="6198" t="s">
        <v>28</v>
      </c>
      <c r="H289" s="6198" t="s">
        <v>28</v>
      </c>
      <c r="I289" s="6198" t="s">
        <v>927</v>
      </c>
    </row>
    <row customHeight="1" ht="11.25">
      <c r="A290" s="6198" t="s">
        <v>2323</v>
      </c>
      <c r="B290" s="6198" t="s">
        <v>16</v>
      </c>
      <c r="C290" s="6198" t="s">
        <v>2697</v>
      </c>
      <c r="D290" s="6198" t="s">
        <v>2698</v>
      </c>
      <c r="E290" s="6198" t="s">
        <v>2699</v>
      </c>
      <c r="F290" s="6198" t="s">
        <v>2524</v>
      </c>
      <c r="G290" s="6198" t="s">
        <v>28</v>
      </c>
      <c r="H290" s="6198" t="s">
        <v>28</v>
      </c>
      <c r="I290" s="6198" t="s">
        <v>927</v>
      </c>
    </row>
    <row customHeight="1" ht="11.25">
      <c r="A291" s="6198" t="s">
        <v>2323</v>
      </c>
      <c r="B291" s="6198" t="s">
        <v>16</v>
      </c>
      <c r="C291" s="6198" t="s">
        <v>2700</v>
      </c>
      <c r="D291" s="6198" t="s">
        <v>2701</v>
      </c>
      <c r="E291" s="6198" t="s">
        <v>2702</v>
      </c>
      <c r="F291" s="6198" t="s">
        <v>2703</v>
      </c>
      <c r="G291" s="6198" t="s">
        <v>2704</v>
      </c>
      <c r="H291" s="6198" t="s">
        <v>28</v>
      </c>
      <c r="I291" s="6198" t="s">
        <v>927</v>
      </c>
    </row>
    <row customHeight="1" ht="11.25">
      <c r="A292" s="6198" t="s">
        <v>2323</v>
      </c>
      <c r="B292" s="6198" t="s">
        <v>16</v>
      </c>
      <c r="C292" s="6198" t="s">
        <v>2705</v>
      </c>
      <c r="D292" s="6198" t="s">
        <v>2706</v>
      </c>
      <c r="E292" s="6198" t="s">
        <v>2707</v>
      </c>
      <c r="F292" s="6198" t="s">
        <v>2524</v>
      </c>
      <c r="G292" s="6198" t="s">
        <v>28</v>
      </c>
      <c r="H292" s="6198" t="s">
        <v>28</v>
      </c>
      <c r="I292" s="6198" t="s">
        <v>927</v>
      </c>
    </row>
    <row customHeight="1" ht="11.25">
      <c r="A293" s="6198" t="s">
        <v>2323</v>
      </c>
      <c r="B293" s="6198" t="s">
        <v>16</v>
      </c>
      <c r="C293" s="6198" t="s">
        <v>2711</v>
      </c>
      <c r="D293" s="6198" t="s">
        <v>2712</v>
      </c>
      <c r="E293" s="6198" t="s">
        <v>2713</v>
      </c>
      <c r="F293" s="6198" t="s">
        <v>2454</v>
      </c>
      <c r="G293" s="6198" t="s">
        <v>28</v>
      </c>
      <c r="H293" s="6198" t="s">
        <v>28</v>
      </c>
      <c r="I293" s="6198" t="s">
        <v>927</v>
      </c>
    </row>
    <row customHeight="1" ht="11.25">
      <c r="A294" s="6198" t="s">
        <v>2323</v>
      </c>
      <c r="B294" s="6198" t="s">
        <v>16</v>
      </c>
      <c r="C294" s="6198" t="s">
        <v>3030</v>
      </c>
      <c r="D294" s="6198" t="s">
        <v>3031</v>
      </c>
      <c r="E294" s="6198" t="s">
        <v>3032</v>
      </c>
      <c r="F294" s="6198" t="s">
        <v>2843</v>
      </c>
      <c r="G294" s="6198" t="s">
        <v>28</v>
      </c>
      <c r="H294" s="6198" t="s">
        <v>28</v>
      </c>
      <c r="I294" s="6198" t="s">
        <v>927</v>
      </c>
    </row>
    <row customHeight="1" ht="11.25">
      <c r="A295" s="6198" t="s">
        <v>2323</v>
      </c>
      <c r="B295" s="6198" t="s">
        <v>16</v>
      </c>
      <c r="C295" s="6198" t="s">
        <v>3033</v>
      </c>
      <c r="D295" s="6198" t="s">
        <v>3034</v>
      </c>
      <c r="E295" s="6198" t="s">
        <v>3035</v>
      </c>
      <c r="F295" s="6198" t="s">
        <v>2843</v>
      </c>
      <c r="G295" s="6198" t="s">
        <v>28</v>
      </c>
      <c r="H295" s="6198" t="s">
        <v>28</v>
      </c>
      <c r="I295" s="6198" t="s">
        <v>927</v>
      </c>
    </row>
    <row customHeight="1" ht="11.25">
      <c r="A296" s="6198" t="s">
        <v>2323</v>
      </c>
      <c r="B296" s="6198" t="s">
        <v>16</v>
      </c>
      <c r="C296" s="6198" t="s">
        <v>3036</v>
      </c>
      <c r="D296" s="6198" t="s">
        <v>3037</v>
      </c>
      <c r="E296" s="6198" t="s">
        <v>3038</v>
      </c>
      <c r="F296" s="6198" t="s">
        <v>2351</v>
      </c>
      <c r="G296" s="6198" t="s">
        <v>28</v>
      </c>
      <c r="H296" s="6198" t="s">
        <v>28</v>
      </c>
      <c r="I296" s="6198" t="s">
        <v>927</v>
      </c>
    </row>
    <row customHeight="1" ht="11.25">
      <c r="A297" s="6198" t="s">
        <v>2323</v>
      </c>
      <c r="B297" s="6198" t="s">
        <v>16</v>
      </c>
      <c r="C297" s="6198" t="s">
        <v>3039</v>
      </c>
      <c r="D297" s="6198" t="s">
        <v>3040</v>
      </c>
      <c r="E297" s="6198" t="s">
        <v>3041</v>
      </c>
      <c r="F297" s="6198" t="s">
        <v>2720</v>
      </c>
      <c r="G297" s="6198" t="s">
        <v>28</v>
      </c>
      <c r="H297" s="6198" t="s">
        <v>28</v>
      </c>
      <c r="I297" s="6198" t="s">
        <v>927</v>
      </c>
    </row>
    <row customHeight="1" ht="11.25">
      <c r="A298" s="6198" t="s">
        <v>2323</v>
      </c>
      <c r="B298" s="6198" t="s">
        <v>16</v>
      </c>
      <c r="C298" s="6198" t="s">
        <v>3042</v>
      </c>
      <c r="D298" s="6198" t="s">
        <v>3043</v>
      </c>
      <c r="E298" s="6198" t="s">
        <v>3044</v>
      </c>
      <c r="F298" s="6198" t="s">
        <v>2510</v>
      </c>
      <c r="G298" s="6198" t="s">
        <v>28</v>
      </c>
      <c r="H298" s="6198" t="s">
        <v>28</v>
      </c>
      <c r="I298" s="6198" t="s">
        <v>927</v>
      </c>
    </row>
    <row customHeight="1" ht="11.25">
      <c r="A299" s="6198" t="s">
        <v>2323</v>
      </c>
      <c r="B299" s="6198" t="s">
        <v>16</v>
      </c>
      <c r="C299" s="6198" t="s">
        <v>2717</v>
      </c>
      <c r="D299" s="6198" t="s">
        <v>2718</v>
      </c>
      <c r="E299" s="6198" t="s">
        <v>2719</v>
      </c>
      <c r="F299" s="6198" t="s">
        <v>2720</v>
      </c>
      <c r="G299" s="6198" t="s">
        <v>28</v>
      </c>
      <c r="H299" s="6198" t="s">
        <v>28</v>
      </c>
      <c r="I299" s="6198" t="s">
        <v>927</v>
      </c>
    </row>
    <row customHeight="1" ht="11.25">
      <c r="A300" s="6198" t="s">
        <v>2323</v>
      </c>
      <c r="B300" s="6198" t="s">
        <v>16</v>
      </c>
      <c r="C300" s="6198" t="s">
        <v>3045</v>
      </c>
      <c r="D300" s="6198" t="s">
        <v>3046</v>
      </c>
      <c r="E300" s="6198" t="s">
        <v>3047</v>
      </c>
      <c r="F300" s="6198" t="s">
        <v>2454</v>
      </c>
      <c r="G300" s="6198" t="s">
        <v>28</v>
      </c>
      <c r="H300" s="6198" t="s">
        <v>28</v>
      </c>
      <c r="I300" s="6198" t="s">
        <v>927</v>
      </c>
    </row>
    <row customHeight="1" ht="11.25">
      <c r="A301" s="6198" t="s">
        <v>2323</v>
      </c>
      <c r="B301" s="6198" t="s">
        <v>16</v>
      </c>
      <c r="C301" s="6198" t="s">
        <v>3048</v>
      </c>
      <c r="D301" s="6198" t="s">
        <v>3049</v>
      </c>
      <c r="E301" s="6198" t="s">
        <v>3050</v>
      </c>
      <c r="F301" s="6198" t="s">
        <v>2902</v>
      </c>
      <c r="G301" s="6198" t="s">
        <v>3051</v>
      </c>
      <c r="H301" s="6198" t="s">
        <v>28</v>
      </c>
      <c r="I301" s="6198" t="s">
        <v>927</v>
      </c>
    </row>
    <row customHeight="1" ht="11.25">
      <c r="A302" s="6198" t="s">
        <v>2323</v>
      </c>
      <c r="B302" s="6198" t="s">
        <v>16</v>
      </c>
      <c r="C302" s="6198" t="s">
        <v>3052</v>
      </c>
      <c r="D302" s="6198" t="s">
        <v>3053</v>
      </c>
      <c r="E302" s="6198" t="s">
        <v>3054</v>
      </c>
      <c r="F302" s="6198" t="s">
        <v>2425</v>
      </c>
      <c r="G302" s="6198" t="s">
        <v>28</v>
      </c>
      <c r="H302" s="6198" t="s">
        <v>28</v>
      </c>
      <c r="I302" s="6198" t="s">
        <v>927</v>
      </c>
    </row>
    <row customHeight="1" ht="11.25">
      <c r="A303" s="6198" t="s">
        <v>2323</v>
      </c>
      <c r="B303" s="6198" t="s">
        <v>16</v>
      </c>
      <c r="C303" s="6198" t="s">
        <v>3055</v>
      </c>
      <c r="D303" s="6198" t="s">
        <v>3056</v>
      </c>
      <c r="E303" s="6198" t="s">
        <v>3057</v>
      </c>
      <c r="F303" s="6198" t="s">
        <v>2446</v>
      </c>
      <c r="G303" s="6198" t="s">
        <v>28</v>
      </c>
      <c r="H303" s="6198" t="s">
        <v>28</v>
      </c>
      <c r="I303" s="6198" t="s">
        <v>927</v>
      </c>
    </row>
    <row customHeight="1" ht="11.25">
      <c r="A304" s="6198" t="s">
        <v>2323</v>
      </c>
      <c r="B304" s="6198" t="s">
        <v>16</v>
      </c>
      <c r="C304" s="6198" t="s">
        <v>3058</v>
      </c>
      <c r="D304" s="6198" t="s">
        <v>3059</v>
      </c>
      <c r="E304" s="6198" t="s">
        <v>3060</v>
      </c>
      <c r="F304" s="6198" t="s">
        <v>2330</v>
      </c>
      <c r="G304" s="6198" t="s">
        <v>28</v>
      </c>
      <c r="H304" s="6198" t="s">
        <v>28</v>
      </c>
      <c r="I304" s="6198" t="s">
        <v>927</v>
      </c>
    </row>
    <row customHeight="1" ht="11.25">
      <c r="A305" s="6198" t="s">
        <v>2323</v>
      </c>
      <c r="B305" s="6198" t="s">
        <v>16</v>
      </c>
      <c r="C305" s="6198" t="s">
        <v>3061</v>
      </c>
      <c r="D305" s="6198" t="s">
        <v>3062</v>
      </c>
      <c r="E305" s="6198" t="s">
        <v>3063</v>
      </c>
      <c r="F305" s="6198" t="s">
        <v>2482</v>
      </c>
      <c r="G305" s="6198" t="s">
        <v>28</v>
      </c>
      <c r="H305" s="6198" t="s">
        <v>28</v>
      </c>
      <c r="I305" s="6198" t="s">
        <v>927</v>
      </c>
    </row>
    <row customHeight="1" ht="11.25">
      <c r="A306" s="6198" t="s">
        <v>2323</v>
      </c>
      <c r="B306" s="6198" t="s">
        <v>16</v>
      </c>
      <c r="C306" s="6198" t="s">
        <v>3064</v>
      </c>
      <c r="D306" s="6198" t="s">
        <v>3065</v>
      </c>
      <c r="E306" s="6198" t="s">
        <v>3066</v>
      </c>
      <c r="F306" s="6198" t="s">
        <v>2843</v>
      </c>
      <c r="G306" s="6198" t="s">
        <v>3067</v>
      </c>
      <c r="H306" s="6198" t="s">
        <v>28</v>
      </c>
      <c r="I306" s="6198" t="s">
        <v>927</v>
      </c>
    </row>
    <row customHeight="1" ht="11.25">
      <c r="A307" s="6198" t="s">
        <v>2323</v>
      </c>
      <c r="B307" s="6198" t="s">
        <v>16</v>
      </c>
      <c r="C307" s="6198" t="s">
        <v>3068</v>
      </c>
      <c r="D307" s="6198" t="s">
        <v>3069</v>
      </c>
      <c r="E307" s="6198" t="s">
        <v>3070</v>
      </c>
      <c r="F307" s="6198" t="s">
        <v>2380</v>
      </c>
      <c r="G307" s="6198" t="s">
        <v>28</v>
      </c>
      <c r="H307" s="6198" t="s">
        <v>28</v>
      </c>
      <c r="I307" s="6198" t="s">
        <v>927</v>
      </c>
    </row>
    <row customHeight="1" ht="11.25">
      <c r="A308" s="6198" t="s">
        <v>2323</v>
      </c>
      <c r="B308" s="6198" t="s">
        <v>16</v>
      </c>
      <c r="C308" s="6198" t="s">
        <v>2747</v>
      </c>
      <c r="D308" s="6198" t="s">
        <v>2748</v>
      </c>
      <c r="E308" s="6198" t="s">
        <v>2749</v>
      </c>
      <c r="F308" s="6198" t="s">
        <v>2351</v>
      </c>
      <c r="G308" s="6198" t="s">
        <v>28</v>
      </c>
      <c r="H308" s="6198" t="s">
        <v>28</v>
      </c>
      <c r="I308" s="6198" t="s">
        <v>927</v>
      </c>
    </row>
    <row customHeight="1" ht="11.25">
      <c r="A309" s="6198" t="s">
        <v>2323</v>
      </c>
      <c r="B309" s="6198" t="s">
        <v>16</v>
      </c>
      <c r="C309" s="6198" t="s">
        <v>28</v>
      </c>
      <c r="D309" s="6198" t="s">
        <v>2324</v>
      </c>
      <c r="E309" s="6198" t="s">
        <v>2325</v>
      </c>
      <c r="F309" s="6198" t="s">
        <v>2326</v>
      </c>
      <c r="G309" s="6198" t="s">
        <v>28</v>
      </c>
      <c r="H309" s="6198" t="s">
        <v>28</v>
      </c>
      <c r="I309" s="6198" t="s">
        <v>980</v>
      </c>
    </row>
    <row customHeight="1" ht="11.25">
      <c r="A310" s="6198" t="s">
        <v>2323</v>
      </c>
      <c r="B310" s="6198" t="s">
        <v>16</v>
      </c>
      <c r="C310" s="6198" t="s">
        <v>2327</v>
      </c>
      <c r="D310" s="6198" t="s">
        <v>2328</v>
      </c>
      <c r="E310" s="6198" t="s">
        <v>2329</v>
      </c>
      <c r="F310" s="6198" t="s">
        <v>2330</v>
      </c>
      <c r="G310" s="6198" t="s">
        <v>28</v>
      </c>
      <c r="H310" s="6198" t="s">
        <v>28</v>
      </c>
      <c r="I310" s="6198" t="s">
        <v>980</v>
      </c>
    </row>
    <row customHeight="1" ht="11.25">
      <c r="A311" s="6198" t="s">
        <v>2323</v>
      </c>
      <c r="B311" s="6198" t="s">
        <v>16</v>
      </c>
      <c r="C311" s="6198" t="s">
        <v>2335</v>
      </c>
      <c r="D311" s="6198" t="s">
        <v>2336</v>
      </c>
      <c r="E311" s="6198" t="s">
        <v>2337</v>
      </c>
      <c r="F311" s="6198" t="s">
        <v>2338</v>
      </c>
      <c r="G311" s="6198" t="s">
        <v>28</v>
      </c>
      <c r="H311" s="6198" t="s">
        <v>28</v>
      </c>
      <c r="I311" s="6198" t="s">
        <v>980</v>
      </c>
    </row>
    <row customHeight="1" ht="11.25">
      <c r="A312" s="6198" t="s">
        <v>2323</v>
      </c>
      <c r="B312" s="6198" t="s">
        <v>16</v>
      </c>
      <c r="C312" s="6198" t="s">
        <v>2339</v>
      </c>
      <c r="D312" s="6198" t="s">
        <v>47</v>
      </c>
      <c r="E312" s="6198" t="s">
        <v>50</v>
      </c>
      <c r="F312" s="6198" t="s">
        <v>2340</v>
      </c>
      <c r="G312" s="6198" t="s">
        <v>2341</v>
      </c>
      <c r="H312" s="6198" t="s">
        <v>28</v>
      </c>
      <c r="I312" s="6198" t="s">
        <v>980</v>
      </c>
    </row>
    <row customHeight="1" ht="11.25">
      <c r="A313" s="6198" t="s">
        <v>2323</v>
      </c>
      <c r="B313" s="6198" t="s">
        <v>16</v>
      </c>
      <c r="C313" s="6198" t="s">
        <v>2348</v>
      </c>
      <c r="D313" s="6198" t="s">
        <v>2349</v>
      </c>
      <c r="E313" s="6198" t="s">
        <v>2350</v>
      </c>
      <c r="F313" s="6198" t="s">
        <v>2351</v>
      </c>
      <c r="G313" s="6198" t="s">
        <v>28</v>
      </c>
      <c r="H313" s="6198" t="s">
        <v>28</v>
      </c>
      <c r="I313" s="6198" t="s">
        <v>980</v>
      </c>
    </row>
    <row customHeight="1" ht="11.25">
      <c r="A314" s="6198" t="s">
        <v>2323</v>
      </c>
      <c r="B314" s="6198" t="s">
        <v>16</v>
      </c>
      <c r="C314" s="6198" t="s">
        <v>2356</v>
      </c>
      <c r="D314" s="6198" t="s">
        <v>2357</v>
      </c>
      <c r="E314" s="6198" t="s">
        <v>2358</v>
      </c>
      <c r="F314" s="6198" t="s">
        <v>2359</v>
      </c>
      <c r="G314" s="6198" t="s">
        <v>28</v>
      </c>
      <c r="H314" s="6198" t="s">
        <v>28</v>
      </c>
      <c r="I314" s="6198" t="s">
        <v>980</v>
      </c>
    </row>
    <row customHeight="1" ht="11.25">
      <c r="A315" s="6198" t="s">
        <v>2323</v>
      </c>
      <c r="B315" s="6198" t="s">
        <v>16</v>
      </c>
      <c r="C315" s="6198" t="s">
        <v>2772</v>
      </c>
      <c r="D315" s="6198" t="s">
        <v>2773</v>
      </c>
      <c r="E315" s="6198" t="s">
        <v>2774</v>
      </c>
      <c r="F315" s="6198" t="s">
        <v>2568</v>
      </c>
      <c r="G315" s="6198" t="s">
        <v>2775</v>
      </c>
      <c r="H315" s="6198" t="s">
        <v>28</v>
      </c>
      <c r="I315" s="6198" t="s">
        <v>980</v>
      </c>
    </row>
    <row customHeight="1" ht="11.25">
      <c r="A316" s="6198" t="s">
        <v>2323</v>
      </c>
      <c r="B316" s="6198" t="s">
        <v>16</v>
      </c>
      <c r="C316" s="6198" t="s">
        <v>3071</v>
      </c>
      <c r="D316" s="6198" t="s">
        <v>3072</v>
      </c>
      <c r="E316" s="6198" t="s">
        <v>3073</v>
      </c>
      <c r="F316" s="6198" t="s">
        <v>2326</v>
      </c>
      <c r="G316" s="6198" t="s">
        <v>28</v>
      </c>
      <c r="H316" s="6198" t="s">
        <v>28</v>
      </c>
      <c r="I316" s="6198" t="s">
        <v>980</v>
      </c>
    </row>
    <row customHeight="1" ht="11.25">
      <c r="A317" s="6198" t="s">
        <v>2323</v>
      </c>
      <c r="B317" s="6198" t="s">
        <v>16</v>
      </c>
      <c r="C317" s="6198" t="s">
        <v>2365</v>
      </c>
      <c r="D317" s="6198" t="s">
        <v>2366</v>
      </c>
      <c r="E317" s="6198" t="s">
        <v>2367</v>
      </c>
      <c r="F317" s="6198" t="s">
        <v>2334</v>
      </c>
      <c r="G317" s="6198" t="s">
        <v>28</v>
      </c>
      <c r="H317" s="6198" t="s">
        <v>28</v>
      </c>
      <c r="I317" s="6198" t="s">
        <v>980</v>
      </c>
    </row>
    <row customHeight="1" ht="11.25">
      <c r="A318" s="6198" t="s">
        <v>2323</v>
      </c>
      <c r="B318" s="6198" t="s">
        <v>16</v>
      </c>
      <c r="C318" s="6198" t="s">
        <v>2368</v>
      </c>
      <c r="D318" s="6198" t="s">
        <v>2369</v>
      </c>
      <c r="E318" s="6198" t="s">
        <v>2370</v>
      </c>
      <c r="F318" s="6198" t="s">
        <v>2371</v>
      </c>
      <c r="G318" s="6198" t="s">
        <v>28</v>
      </c>
      <c r="H318" s="6198" t="s">
        <v>28</v>
      </c>
      <c r="I318" s="6198" t="s">
        <v>980</v>
      </c>
    </row>
    <row customHeight="1" ht="11.25">
      <c r="A319" s="6198" t="s">
        <v>2323</v>
      </c>
      <c r="B319" s="6198" t="s">
        <v>16</v>
      </c>
      <c r="C319" s="6198" t="s">
        <v>2776</v>
      </c>
      <c r="D319" s="6198" t="s">
        <v>2777</v>
      </c>
      <c r="E319" s="6198" t="s">
        <v>2778</v>
      </c>
      <c r="F319" s="6198" t="s">
        <v>2351</v>
      </c>
      <c r="G319" s="6198" t="s">
        <v>2779</v>
      </c>
      <c r="H319" s="6198" t="s">
        <v>28</v>
      </c>
      <c r="I319" s="6198" t="s">
        <v>980</v>
      </c>
    </row>
    <row customHeight="1" ht="11.25">
      <c r="A320" s="6198" t="s">
        <v>2323</v>
      </c>
      <c r="B320" s="6198" t="s">
        <v>16</v>
      </c>
      <c r="C320" s="6198" t="s">
        <v>2780</v>
      </c>
      <c r="D320" s="6198" t="s">
        <v>2781</v>
      </c>
      <c r="E320" s="6198" t="s">
        <v>2782</v>
      </c>
      <c r="F320" s="6198" t="s">
        <v>2334</v>
      </c>
      <c r="G320" s="6198" t="s">
        <v>28</v>
      </c>
      <c r="H320" s="6198" t="s">
        <v>28</v>
      </c>
      <c r="I320" s="6198" t="s">
        <v>980</v>
      </c>
    </row>
    <row customHeight="1" ht="11.25">
      <c r="A321" s="6198" t="s">
        <v>2323</v>
      </c>
      <c r="B321" s="6198" t="s">
        <v>16</v>
      </c>
      <c r="C321" s="6198" t="s">
        <v>2385</v>
      </c>
      <c r="D321" s="6198" t="s">
        <v>2386</v>
      </c>
      <c r="E321" s="6198" t="s">
        <v>2387</v>
      </c>
      <c r="F321" s="6198" t="s">
        <v>2388</v>
      </c>
      <c r="G321" s="6198" t="s">
        <v>28</v>
      </c>
      <c r="H321" s="6198" t="s">
        <v>28</v>
      </c>
      <c r="I321" s="6198" t="s">
        <v>980</v>
      </c>
    </row>
    <row customHeight="1" ht="11.25">
      <c r="A322" s="6198" t="s">
        <v>2323</v>
      </c>
      <c r="B322" s="6198" t="s">
        <v>16</v>
      </c>
      <c r="C322" s="6198" t="s">
        <v>2783</v>
      </c>
      <c r="D322" s="6198" t="s">
        <v>2784</v>
      </c>
      <c r="E322" s="6198" t="s">
        <v>2785</v>
      </c>
      <c r="F322" s="6198" t="s">
        <v>2746</v>
      </c>
      <c r="G322" s="6198" t="s">
        <v>2786</v>
      </c>
      <c r="H322" s="6198" t="s">
        <v>28</v>
      </c>
      <c r="I322" s="6198" t="s">
        <v>980</v>
      </c>
    </row>
    <row customHeight="1" ht="11.25">
      <c r="A323" s="6198" t="s">
        <v>2323</v>
      </c>
      <c r="B323" s="6198" t="s">
        <v>16</v>
      </c>
      <c r="C323" s="6198" t="s">
        <v>2397</v>
      </c>
      <c r="D323" s="6198" t="s">
        <v>2398</v>
      </c>
      <c r="E323" s="6198" t="s">
        <v>2399</v>
      </c>
      <c r="F323" s="6198" t="s">
        <v>2326</v>
      </c>
      <c r="G323" s="6198" t="s">
        <v>2400</v>
      </c>
      <c r="H323" s="6198" t="s">
        <v>28</v>
      </c>
      <c r="I323" s="6198" t="s">
        <v>980</v>
      </c>
    </row>
    <row customHeight="1" ht="11.25">
      <c r="A324" s="6198" t="s">
        <v>2323</v>
      </c>
      <c r="B324" s="6198" t="s">
        <v>16</v>
      </c>
      <c r="C324" s="6198" t="s">
        <v>2787</v>
      </c>
      <c r="D324" s="6198" t="s">
        <v>2788</v>
      </c>
      <c r="E324" s="6198" t="s">
        <v>2789</v>
      </c>
      <c r="F324" s="6198" t="s">
        <v>2790</v>
      </c>
      <c r="G324" s="6198" t="s">
        <v>28</v>
      </c>
      <c r="H324" s="6198" t="s">
        <v>28</v>
      </c>
      <c r="I324" s="6198" t="s">
        <v>980</v>
      </c>
    </row>
    <row customHeight="1" ht="11.25">
      <c r="A325" s="6198" t="s">
        <v>2323</v>
      </c>
      <c r="B325" s="6198" t="s">
        <v>16</v>
      </c>
      <c r="C325" s="6198" t="s">
        <v>2419</v>
      </c>
      <c r="D325" s="6198" t="s">
        <v>2420</v>
      </c>
      <c r="E325" s="6198" t="s">
        <v>2417</v>
      </c>
      <c r="F325" s="6198" t="s">
        <v>2421</v>
      </c>
      <c r="G325" s="6198" t="s">
        <v>28</v>
      </c>
      <c r="H325" s="6198" t="s">
        <v>28</v>
      </c>
      <c r="I325" s="6198" t="s">
        <v>980</v>
      </c>
    </row>
    <row customHeight="1" ht="11.25">
      <c r="A326" s="6198" t="s">
        <v>2323</v>
      </c>
      <c r="B326" s="6198" t="s">
        <v>16</v>
      </c>
      <c r="C326" s="6198" t="s">
        <v>2791</v>
      </c>
      <c r="D326" s="6198" t="s">
        <v>2792</v>
      </c>
      <c r="E326" s="6198" t="s">
        <v>2793</v>
      </c>
      <c r="F326" s="6198" t="s">
        <v>2454</v>
      </c>
      <c r="G326" s="6198" t="s">
        <v>28</v>
      </c>
      <c r="H326" s="6198" t="s">
        <v>28</v>
      </c>
      <c r="I326" s="6198" t="s">
        <v>980</v>
      </c>
    </row>
    <row customHeight="1" ht="11.25">
      <c r="A327" s="6198" t="s">
        <v>2323</v>
      </c>
      <c r="B327" s="6198" t="s">
        <v>16</v>
      </c>
      <c r="C327" s="6198" t="s">
        <v>2797</v>
      </c>
      <c r="D327" s="6198" t="s">
        <v>2798</v>
      </c>
      <c r="E327" s="6198" t="s">
        <v>2799</v>
      </c>
      <c r="F327" s="6198" t="s">
        <v>649</v>
      </c>
      <c r="G327" s="6198" t="s">
        <v>28</v>
      </c>
      <c r="H327" s="6198" t="s">
        <v>28</v>
      </c>
      <c r="I327" s="6198" t="s">
        <v>980</v>
      </c>
    </row>
    <row customHeight="1" ht="11.25">
      <c r="A328" s="6198" t="s">
        <v>2323</v>
      </c>
      <c r="B328" s="6198" t="s">
        <v>16</v>
      </c>
      <c r="C328" s="6198" t="s">
        <v>2803</v>
      </c>
      <c r="D328" s="6198" t="s">
        <v>2466</v>
      </c>
      <c r="E328" s="6198" t="s">
        <v>2467</v>
      </c>
      <c r="F328" s="6198" t="s">
        <v>2804</v>
      </c>
      <c r="G328" s="6198" t="s">
        <v>28</v>
      </c>
      <c r="H328" s="6198" t="s">
        <v>28</v>
      </c>
      <c r="I328" s="6198" t="s">
        <v>980</v>
      </c>
    </row>
    <row customHeight="1" ht="11.25">
      <c r="A329" s="6198" t="s">
        <v>2323</v>
      </c>
      <c r="B329" s="6198" t="s">
        <v>16</v>
      </c>
      <c r="C329" s="6198" t="s">
        <v>2753</v>
      </c>
      <c r="D329" s="6198" t="s">
        <v>2466</v>
      </c>
      <c r="E329" s="6198" t="s">
        <v>2467</v>
      </c>
      <c r="F329" s="6198" t="s">
        <v>2754</v>
      </c>
      <c r="G329" s="6198" t="s">
        <v>28</v>
      </c>
      <c r="H329" s="6198" t="s">
        <v>28</v>
      </c>
      <c r="I329" s="6198" t="s">
        <v>980</v>
      </c>
    </row>
    <row customHeight="1" ht="11.25">
      <c r="A330" s="6198" t="s">
        <v>2323</v>
      </c>
      <c r="B330" s="6198" t="s">
        <v>16</v>
      </c>
      <c r="C330" s="6198" t="s">
        <v>2755</v>
      </c>
      <c r="D330" s="6198" t="s">
        <v>2466</v>
      </c>
      <c r="E330" s="6198" t="s">
        <v>2467</v>
      </c>
      <c r="F330" s="6198" t="s">
        <v>2756</v>
      </c>
      <c r="G330" s="6198" t="s">
        <v>28</v>
      </c>
      <c r="H330" s="6198" t="s">
        <v>28</v>
      </c>
      <c r="I330" s="6198" t="s">
        <v>980</v>
      </c>
    </row>
    <row customHeight="1" ht="11.25">
      <c r="A331" s="6198" t="s">
        <v>2323</v>
      </c>
      <c r="B331" s="6198" t="s">
        <v>16</v>
      </c>
      <c r="C331" s="6198" t="s">
        <v>2757</v>
      </c>
      <c r="D331" s="6198" t="s">
        <v>2466</v>
      </c>
      <c r="E331" s="6198" t="s">
        <v>2467</v>
      </c>
      <c r="F331" s="6198" t="s">
        <v>2758</v>
      </c>
      <c r="G331" s="6198" t="s">
        <v>28</v>
      </c>
      <c r="H331" s="6198" t="s">
        <v>28</v>
      </c>
      <c r="I331" s="6198" t="s">
        <v>980</v>
      </c>
    </row>
    <row customHeight="1" ht="11.25">
      <c r="A332" s="6198" t="s">
        <v>2323</v>
      </c>
      <c r="B332" s="6198" t="s">
        <v>16</v>
      </c>
      <c r="C332" s="6198" t="s">
        <v>2805</v>
      </c>
      <c r="D332" s="6198" t="s">
        <v>2466</v>
      </c>
      <c r="E332" s="6198" t="s">
        <v>2467</v>
      </c>
      <c r="F332" s="6198" t="s">
        <v>2806</v>
      </c>
      <c r="G332" s="6198" t="s">
        <v>28</v>
      </c>
      <c r="H332" s="6198" t="s">
        <v>28</v>
      </c>
      <c r="I332" s="6198" t="s">
        <v>980</v>
      </c>
    </row>
    <row customHeight="1" ht="11.25">
      <c r="A333" s="6198" t="s">
        <v>2323</v>
      </c>
      <c r="B333" s="6198" t="s">
        <v>16</v>
      </c>
      <c r="C333" s="6198" t="s">
        <v>2759</v>
      </c>
      <c r="D333" s="6198" t="s">
        <v>2466</v>
      </c>
      <c r="E333" s="6198" t="s">
        <v>2467</v>
      </c>
      <c r="F333" s="6198" t="s">
        <v>2760</v>
      </c>
      <c r="G333" s="6198" t="s">
        <v>28</v>
      </c>
      <c r="H333" s="6198" t="s">
        <v>28</v>
      </c>
      <c r="I333" s="6198" t="s">
        <v>980</v>
      </c>
    </row>
    <row customHeight="1" ht="11.25">
      <c r="A334" s="6198" t="s">
        <v>2323</v>
      </c>
      <c r="B334" s="6198" t="s">
        <v>16</v>
      </c>
      <c r="C334" s="6198" t="s">
        <v>2761</v>
      </c>
      <c r="D334" s="6198" t="s">
        <v>2466</v>
      </c>
      <c r="E334" s="6198" t="s">
        <v>2467</v>
      </c>
      <c r="F334" s="6198" t="s">
        <v>2762</v>
      </c>
      <c r="G334" s="6198" t="s">
        <v>28</v>
      </c>
      <c r="H334" s="6198" t="s">
        <v>28</v>
      </c>
      <c r="I334" s="6198" t="s">
        <v>980</v>
      </c>
    </row>
    <row customHeight="1" ht="11.25">
      <c r="A335" s="6198" t="s">
        <v>2323</v>
      </c>
      <c r="B335" s="6198" t="s">
        <v>16</v>
      </c>
      <c r="C335" s="6198" t="s">
        <v>2763</v>
      </c>
      <c r="D335" s="6198" t="s">
        <v>2466</v>
      </c>
      <c r="E335" s="6198" t="s">
        <v>2467</v>
      </c>
      <c r="F335" s="6198" t="s">
        <v>2764</v>
      </c>
      <c r="G335" s="6198" t="s">
        <v>28</v>
      </c>
      <c r="H335" s="6198" t="s">
        <v>28</v>
      </c>
      <c r="I335" s="6198" t="s">
        <v>980</v>
      </c>
    </row>
    <row customHeight="1" ht="11.25">
      <c r="A336" s="6198" t="s">
        <v>2323</v>
      </c>
      <c r="B336" s="6198" t="s">
        <v>16</v>
      </c>
      <c r="C336" s="6198" t="s">
        <v>2765</v>
      </c>
      <c r="D336" s="6198" t="s">
        <v>2466</v>
      </c>
      <c r="E336" s="6198" t="s">
        <v>2467</v>
      </c>
      <c r="F336" s="6198" t="s">
        <v>2766</v>
      </c>
      <c r="G336" s="6198" t="s">
        <v>28</v>
      </c>
      <c r="H336" s="6198" t="s">
        <v>28</v>
      </c>
      <c r="I336" s="6198" t="s">
        <v>980</v>
      </c>
    </row>
    <row customHeight="1" ht="11.25">
      <c r="A337" s="6198" t="s">
        <v>2323</v>
      </c>
      <c r="B337" s="6198" t="s">
        <v>16</v>
      </c>
      <c r="C337" s="6198" t="s">
        <v>2767</v>
      </c>
      <c r="D337" s="6198" t="s">
        <v>2466</v>
      </c>
      <c r="E337" s="6198" t="s">
        <v>2467</v>
      </c>
      <c r="F337" s="6198" t="s">
        <v>2768</v>
      </c>
      <c r="G337" s="6198" t="s">
        <v>28</v>
      </c>
      <c r="H337" s="6198" t="s">
        <v>28</v>
      </c>
      <c r="I337" s="6198" t="s">
        <v>980</v>
      </c>
    </row>
    <row customHeight="1" ht="11.25">
      <c r="A338" s="6198" t="s">
        <v>2323</v>
      </c>
      <c r="B338" s="6198" t="s">
        <v>16</v>
      </c>
      <c r="C338" s="6198" t="s">
        <v>2465</v>
      </c>
      <c r="D338" s="6198" t="s">
        <v>2466</v>
      </c>
      <c r="E338" s="6198" t="s">
        <v>2467</v>
      </c>
      <c r="F338" s="6198" t="s">
        <v>2464</v>
      </c>
      <c r="G338" s="6198" t="s">
        <v>28</v>
      </c>
      <c r="H338" s="6198" t="s">
        <v>28</v>
      </c>
      <c r="I338" s="6198" t="s">
        <v>980</v>
      </c>
    </row>
    <row customHeight="1" ht="11.25">
      <c r="A339" s="6198" t="s">
        <v>2323</v>
      </c>
      <c r="B339" s="6198" t="s">
        <v>16</v>
      </c>
      <c r="C339" s="6198" t="s">
        <v>2807</v>
      </c>
      <c r="D339" s="6198" t="s">
        <v>2808</v>
      </c>
      <c r="E339" s="6198" t="s">
        <v>2809</v>
      </c>
      <c r="F339" s="6198" t="s">
        <v>2351</v>
      </c>
      <c r="G339" s="6198" t="s">
        <v>28</v>
      </c>
      <c r="H339" s="6198" t="s">
        <v>28</v>
      </c>
      <c r="I339" s="6198" t="s">
        <v>980</v>
      </c>
    </row>
    <row customHeight="1" ht="11.25">
      <c r="A340" s="6198" t="s">
        <v>2323</v>
      </c>
      <c r="B340" s="6198" t="s">
        <v>16</v>
      </c>
      <c r="C340" s="6198" t="s">
        <v>2810</v>
      </c>
      <c r="D340" s="6198" t="s">
        <v>2808</v>
      </c>
      <c r="E340" s="6198" t="s">
        <v>2809</v>
      </c>
      <c r="F340" s="6198" t="s">
        <v>2811</v>
      </c>
      <c r="G340" s="6198" t="s">
        <v>28</v>
      </c>
      <c r="H340" s="6198" t="s">
        <v>28</v>
      </c>
      <c r="I340" s="6198" t="s">
        <v>980</v>
      </c>
    </row>
    <row customHeight="1" ht="11.25">
      <c r="A341" s="6198" t="s">
        <v>2323</v>
      </c>
      <c r="B341" s="6198" t="s">
        <v>16</v>
      </c>
      <c r="C341" s="6198" t="s">
        <v>2812</v>
      </c>
      <c r="D341" s="6198" t="s">
        <v>2770</v>
      </c>
      <c r="E341" s="6198" t="s">
        <v>2467</v>
      </c>
      <c r="F341" s="6198" t="s">
        <v>2813</v>
      </c>
      <c r="G341" s="6198" t="s">
        <v>28</v>
      </c>
      <c r="H341" s="6198" t="s">
        <v>28</v>
      </c>
      <c r="I341" s="6198" t="s">
        <v>980</v>
      </c>
    </row>
    <row customHeight="1" ht="11.25">
      <c r="A342" s="6198" t="s">
        <v>2323</v>
      </c>
      <c r="B342" s="6198" t="s">
        <v>16</v>
      </c>
      <c r="C342" s="6198" t="s">
        <v>2769</v>
      </c>
      <c r="D342" s="6198" t="s">
        <v>2770</v>
      </c>
      <c r="E342" s="6198" t="s">
        <v>2467</v>
      </c>
      <c r="F342" s="6198" t="s">
        <v>2771</v>
      </c>
      <c r="G342" s="6198" t="s">
        <v>28</v>
      </c>
      <c r="H342" s="6198" t="s">
        <v>28</v>
      </c>
      <c r="I342" s="6198" t="s">
        <v>980</v>
      </c>
    </row>
    <row customHeight="1" ht="11.25">
      <c r="A343" s="6198" t="s">
        <v>2323</v>
      </c>
      <c r="B343" s="6198" t="s">
        <v>16</v>
      </c>
      <c r="C343" s="6198" t="s">
        <v>3074</v>
      </c>
      <c r="D343" s="6198" t="s">
        <v>3075</v>
      </c>
      <c r="E343" s="6198" t="s">
        <v>3076</v>
      </c>
      <c r="F343" s="6198" t="s">
        <v>2585</v>
      </c>
      <c r="G343" s="6198" t="s">
        <v>3077</v>
      </c>
      <c r="H343" s="6198" t="s">
        <v>28</v>
      </c>
      <c r="I343" s="6198" t="s">
        <v>980</v>
      </c>
    </row>
    <row customHeight="1" ht="11.25">
      <c r="A344" s="6198" t="s">
        <v>2323</v>
      </c>
      <c r="B344" s="6198" t="s">
        <v>16</v>
      </c>
      <c r="C344" s="6198" t="s">
        <v>2817</v>
      </c>
      <c r="D344" s="6198" t="s">
        <v>2818</v>
      </c>
      <c r="E344" s="6198" t="s">
        <v>2819</v>
      </c>
      <c r="F344" s="6198" t="s">
        <v>2555</v>
      </c>
      <c r="G344" s="6198" t="s">
        <v>28</v>
      </c>
      <c r="H344" s="6198" t="s">
        <v>28</v>
      </c>
      <c r="I344" s="6198" t="s">
        <v>980</v>
      </c>
    </row>
    <row customHeight="1" ht="11.25">
      <c r="A345" s="6198" t="s">
        <v>2323</v>
      </c>
      <c r="B345" s="6198" t="s">
        <v>16</v>
      </c>
      <c r="C345" s="6198" t="s">
        <v>2820</v>
      </c>
      <c r="D345" s="6198" t="s">
        <v>2821</v>
      </c>
      <c r="E345" s="6198" t="s">
        <v>2822</v>
      </c>
      <c r="F345" s="6198" t="s">
        <v>2664</v>
      </c>
      <c r="G345" s="6198" t="s">
        <v>28</v>
      </c>
      <c r="H345" s="6198" t="s">
        <v>28</v>
      </c>
      <c r="I345" s="6198" t="s">
        <v>980</v>
      </c>
    </row>
    <row customHeight="1" ht="11.25">
      <c r="A346" s="6198" t="s">
        <v>2323</v>
      </c>
      <c r="B346" s="6198" t="s">
        <v>16</v>
      </c>
      <c r="C346" s="6198" t="s">
        <v>2823</v>
      </c>
      <c r="D346" s="6198" t="s">
        <v>2824</v>
      </c>
      <c r="E346" s="6198" t="s">
        <v>2825</v>
      </c>
      <c r="F346" s="6198" t="s">
        <v>2380</v>
      </c>
      <c r="G346" s="6198" t="s">
        <v>28</v>
      </c>
      <c r="H346" s="6198" t="s">
        <v>28</v>
      </c>
      <c r="I346" s="6198" t="s">
        <v>980</v>
      </c>
    </row>
    <row customHeight="1" ht="11.25">
      <c r="A347" s="6198" t="s">
        <v>2323</v>
      </c>
      <c r="B347" s="6198" t="s">
        <v>16</v>
      </c>
      <c r="C347" s="6198" t="s">
        <v>2826</v>
      </c>
      <c r="D347" s="6198" t="s">
        <v>2827</v>
      </c>
      <c r="E347" s="6198" t="s">
        <v>2828</v>
      </c>
      <c r="F347" s="6198" t="s">
        <v>2475</v>
      </c>
      <c r="G347" s="6198" t="s">
        <v>28</v>
      </c>
      <c r="H347" s="6198" t="s">
        <v>28</v>
      </c>
      <c r="I347" s="6198" t="s">
        <v>980</v>
      </c>
    </row>
    <row customHeight="1" ht="11.25">
      <c r="A348" s="6198" t="s">
        <v>2323</v>
      </c>
      <c r="B348" s="6198" t="s">
        <v>16</v>
      </c>
      <c r="C348" s="6198" t="s">
        <v>2833</v>
      </c>
      <c r="D348" s="6198" t="s">
        <v>2834</v>
      </c>
      <c r="E348" s="6198" t="s">
        <v>2835</v>
      </c>
      <c r="F348" s="6198" t="s">
        <v>2380</v>
      </c>
      <c r="G348" s="6198" t="s">
        <v>28</v>
      </c>
      <c r="H348" s="6198" t="s">
        <v>28</v>
      </c>
      <c r="I348" s="6198" t="s">
        <v>980</v>
      </c>
    </row>
    <row customHeight="1" ht="11.25">
      <c r="A349" s="6198" t="s">
        <v>2323</v>
      </c>
      <c r="B349" s="6198" t="s">
        <v>16</v>
      </c>
      <c r="C349" s="6198" t="s">
        <v>2472</v>
      </c>
      <c r="D349" s="6198" t="s">
        <v>2473</v>
      </c>
      <c r="E349" s="6198" t="s">
        <v>2474</v>
      </c>
      <c r="F349" s="6198" t="s">
        <v>2475</v>
      </c>
      <c r="G349" s="6198" t="s">
        <v>28</v>
      </c>
      <c r="H349" s="6198" t="s">
        <v>28</v>
      </c>
      <c r="I349" s="6198" t="s">
        <v>980</v>
      </c>
    </row>
    <row customHeight="1" ht="11.25">
      <c r="A350" s="6198" t="s">
        <v>2323</v>
      </c>
      <c r="B350" s="6198" t="s">
        <v>16</v>
      </c>
      <c r="C350" s="6198" t="s">
        <v>2836</v>
      </c>
      <c r="D350" s="6198" t="s">
        <v>2837</v>
      </c>
      <c r="E350" s="6198" t="s">
        <v>2838</v>
      </c>
      <c r="F350" s="6198" t="s">
        <v>2493</v>
      </c>
      <c r="G350" s="6198" t="s">
        <v>2839</v>
      </c>
      <c r="H350" s="6198" t="s">
        <v>28</v>
      </c>
      <c r="I350" s="6198" t="s">
        <v>980</v>
      </c>
    </row>
    <row customHeight="1" ht="11.25">
      <c r="A351" s="6198" t="s">
        <v>2323</v>
      </c>
      <c r="B351" s="6198" t="s">
        <v>16</v>
      </c>
      <c r="C351" s="6198" t="s">
        <v>2840</v>
      </c>
      <c r="D351" s="6198" t="s">
        <v>2841</v>
      </c>
      <c r="E351" s="6198" t="s">
        <v>2842</v>
      </c>
      <c r="F351" s="6198" t="s">
        <v>2843</v>
      </c>
      <c r="G351" s="6198" t="s">
        <v>28</v>
      </c>
      <c r="H351" s="6198" t="s">
        <v>28</v>
      </c>
      <c r="I351" s="6198" t="s">
        <v>980</v>
      </c>
    </row>
    <row customHeight="1" ht="11.25">
      <c r="A352" s="6198" t="s">
        <v>2323</v>
      </c>
      <c r="B352" s="6198" t="s">
        <v>16</v>
      </c>
      <c r="C352" s="6198" t="s">
        <v>2844</v>
      </c>
      <c r="D352" s="6198" t="s">
        <v>2845</v>
      </c>
      <c r="E352" s="6198" t="s">
        <v>2846</v>
      </c>
      <c r="F352" s="6198" t="s">
        <v>2493</v>
      </c>
      <c r="G352" s="6198" t="s">
        <v>28</v>
      </c>
      <c r="H352" s="6198" t="s">
        <v>28</v>
      </c>
      <c r="I352" s="6198" t="s">
        <v>980</v>
      </c>
    </row>
    <row customHeight="1" ht="11.25">
      <c r="A353" s="6198" t="s">
        <v>2323</v>
      </c>
      <c r="B353" s="6198" t="s">
        <v>16</v>
      </c>
      <c r="C353" s="6198" t="s">
        <v>2847</v>
      </c>
      <c r="D353" s="6198" t="s">
        <v>2848</v>
      </c>
      <c r="E353" s="6198" t="s">
        <v>2849</v>
      </c>
      <c r="F353" s="6198" t="s">
        <v>2359</v>
      </c>
      <c r="G353" s="6198" t="s">
        <v>2850</v>
      </c>
      <c r="H353" s="6198" t="s">
        <v>28</v>
      </c>
      <c r="I353" s="6198" t="s">
        <v>980</v>
      </c>
    </row>
    <row customHeight="1" ht="11.25">
      <c r="A354" s="6198" t="s">
        <v>2323</v>
      </c>
      <c r="B354" s="6198" t="s">
        <v>16</v>
      </c>
      <c r="C354" s="6198" t="s">
        <v>2851</v>
      </c>
      <c r="D354" s="6198" t="s">
        <v>2852</v>
      </c>
      <c r="E354" s="6198" t="s">
        <v>2853</v>
      </c>
      <c r="F354" s="6198" t="s">
        <v>2359</v>
      </c>
      <c r="G354" s="6198" t="s">
        <v>2854</v>
      </c>
      <c r="H354" s="6198" t="s">
        <v>28</v>
      </c>
      <c r="I354" s="6198" t="s">
        <v>980</v>
      </c>
    </row>
    <row customHeight="1" ht="11.25">
      <c r="A355" s="6198" t="s">
        <v>2323</v>
      </c>
      <c r="B355" s="6198" t="s">
        <v>16</v>
      </c>
      <c r="C355" s="6198" t="s">
        <v>2479</v>
      </c>
      <c r="D355" s="6198" t="s">
        <v>2480</v>
      </c>
      <c r="E355" s="6198" t="s">
        <v>2481</v>
      </c>
      <c r="F355" s="6198" t="s">
        <v>2482</v>
      </c>
      <c r="G355" s="6198" t="s">
        <v>28</v>
      </c>
      <c r="H355" s="6198" t="s">
        <v>28</v>
      </c>
      <c r="I355" s="6198" t="s">
        <v>980</v>
      </c>
    </row>
    <row customHeight="1" ht="11.25">
      <c r="A356" s="6198" t="s">
        <v>2323</v>
      </c>
      <c r="B356" s="6198" t="s">
        <v>16</v>
      </c>
      <c r="C356" s="6198" t="s">
        <v>3078</v>
      </c>
      <c r="D356" s="6198" t="s">
        <v>3079</v>
      </c>
      <c r="E356" s="6198" t="s">
        <v>3080</v>
      </c>
      <c r="F356" s="6198" t="s">
        <v>2493</v>
      </c>
      <c r="G356" s="6198" t="s">
        <v>28</v>
      </c>
      <c r="H356" s="6198" t="s">
        <v>28</v>
      </c>
      <c r="I356" s="6198" t="s">
        <v>980</v>
      </c>
    </row>
    <row customHeight="1" ht="11.25">
      <c r="A357" s="6198" t="s">
        <v>2323</v>
      </c>
      <c r="B357" s="6198" t="s">
        <v>16</v>
      </c>
      <c r="C357" s="6198" t="s">
        <v>2483</v>
      </c>
      <c r="D357" s="6198" t="s">
        <v>2484</v>
      </c>
      <c r="E357" s="6198" t="s">
        <v>2485</v>
      </c>
      <c r="F357" s="6198" t="s">
        <v>2486</v>
      </c>
      <c r="G357" s="6198" t="s">
        <v>28</v>
      </c>
      <c r="H357" s="6198" t="s">
        <v>28</v>
      </c>
      <c r="I357" s="6198" t="s">
        <v>980</v>
      </c>
    </row>
    <row customHeight="1" ht="11.25">
      <c r="A358" s="6198" t="s">
        <v>2323</v>
      </c>
      <c r="B358" s="6198" t="s">
        <v>16</v>
      </c>
      <c r="C358" s="6198" t="s">
        <v>2487</v>
      </c>
      <c r="D358" s="6198" t="s">
        <v>2488</v>
      </c>
      <c r="E358" s="6198" t="s">
        <v>2489</v>
      </c>
      <c r="F358" s="6198" t="s">
        <v>2486</v>
      </c>
      <c r="G358" s="6198" t="s">
        <v>28</v>
      </c>
      <c r="H358" s="6198" t="s">
        <v>28</v>
      </c>
      <c r="I358" s="6198" t="s">
        <v>980</v>
      </c>
    </row>
    <row customHeight="1" ht="11.25">
      <c r="A359" s="6198" t="s">
        <v>2323</v>
      </c>
      <c r="B359" s="6198" t="s">
        <v>16</v>
      </c>
      <c r="C359" s="6198" t="s">
        <v>2490</v>
      </c>
      <c r="D359" s="6198" t="s">
        <v>2491</v>
      </c>
      <c r="E359" s="6198" t="s">
        <v>2492</v>
      </c>
      <c r="F359" s="6198" t="s">
        <v>2493</v>
      </c>
      <c r="G359" s="6198" t="s">
        <v>28</v>
      </c>
      <c r="H359" s="6198" t="s">
        <v>28</v>
      </c>
      <c r="I359" s="6198" t="s">
        <v>980</v>
      </c>
    </row>
    <row customHeight="1" ht="11.25">
      <c r="A360" s="6198" t="s">
        <v>2323</v>
      </c>
      <c r="B360" s="6198" t="s">
        <v>16</v>
      </c>
      <c r="C360" s="6198" t="s">
        <v>2855</v>
      </c>
      <c r="D360" s="6198" t="s">
        <v>2856</v>
      </c>
      <c r="E360" s="6198" t="s">
        <v>2857</v>
      </c>
      <c r="F360" s="6198" t="s">
        <v>2425</v>
      </c>
      <c r="G360" s="6198" t="s">
        <v>28</v>
      </c>
      <c r="H360" s="6198" t="s">
        <v>28</v>
      </c>
      <c r="I360" s="6198" t="s">
        <v>980</v>
      </c>
    </row>
    <row customHeight="1" ht="11.25">
      <c r="A361" s="6198" t="s">
        <v>2323</v>
      </c>
      <c r="B361" s="6198" t="s">
        <v>16</v>
      </c>
      <c r="C361" s="6198" t="s">
        <v>2858</v>
      </c>
      <c r="D361" s="6198" t="s">
        <v>2859</v>
      </c>
      <c r="E361" s="6198" t="s">
        <v>2860</v>
      </c>
      <c r="F361" s="6198" t="s">
        <v>2388</v>
      </c>
      <c r="G361" s="6198" t="s">
        <v>2861</v>
      </c>
      <c r="H361" s="6198" t="s">
        <v>28</v>
      </c>
      <c r="I361" s="6198" t="s">
        <v>980</v>
      </c>
    </row>
    <row customHeight="1" ht="11.25">
      <c r="A362" s="6198" t="s">
        <v>2323</v>
      </c>
      <c r="B362" s="6198" t="s">
        <v>16</v>
      </c>
      <c r="C362" s="6198" t="s">
        <v>2862</v>
      </c>
      <c r="D362" s="6198" t="s">
        <v>2863</v>
      </c>
      <c r="E362" s="6198" t="s">
        <v>2864</v>
      </c>
      <c r="F362" s="6198" t="s">
        <v>2446</v>
      </c>
      <c r="G362" s="6198" t="s">
        <v>2865</v>
      </c>
      <c r="H362" s="6198" t="s">
        <v>28</v>
      </c>
      <c r="I362" s="6198" t="s">
        <v>980</v>
      </c>
    </row>
    <row customHeight="1" ht="11.25">
      <c r="A363" s="6198" t="s">
        <v>2323</v>
      </c>
      <c r="B363" s="6198" t="s">
        <v>16</v>
      </c>
      <c r="C363" s="6198" t="s">
        <v>2494</v>
      </c>
      <c r="D363" s="6198" t="s">
        <v>2495</v>
      </c>
      <c r="E363" s="6198" t="s">
        <v>2496</v>
      </c>
      <c r="F363" s="6198" t="s">
        <v>2359</v>
      </c>
      <c r="G363" s="6198" t="s">
        <v>28</v>
      </c>
      <c r="H363" s="6198" t="s">
        <v>28</v>
      </c>
      <c r="I363" s="6198" t="s">
        <v>980</v>
      </c>
    </row>
    <row customHeight="1" ht="11.25">
      <c r="A364" s="6198" t="s">
        <v>2323</v>
      </c>
      <c r="B364" s="6198" t="s">
        <v>16</v>
      </c>
      <c r="C364" s="6198" t="s">
        <v>2866</v>
      </c>
      <c r="D364" s="6198" t="s">
        <v>2867</v>
      </c>
      <c r="E364" s="6198" t="s">
        <v>2868</v>
      </c>
      <c r="F364" s="6198" t="s">
        <v>2832</v>
      </c>
      <c r="G364" s="6198" t="s">
        <v>28</v>
      </c>
      <c r="H364" s="6198" t="s">
        <v>28</v>
      </c>
      <c r="I364" s="6198" t="s">
        <v>980</v>
      </c>
    </row>
    <row customHeight="1" ht="11.25">
      <c r="A365" s="6198" t="s">
        <v>2323</v>
      </c>
      <c r="B365" s="6198" t="s">
        <v>16</v>
      </c>
      <c r="C365" s="6198" t="s">
        <v>2497</v>
      </c>
      <c r="D365" s="6198" t="s">
        <v>2498</v>
      </c>
      <c r="E365" s="6198" t="s">
        <v>2499</v>
      </c>
      <c r="F365" s="6198" t="s">
        <v>2482</v>
      </c>
      <c r="G365" s="6198" t="s">
        <v>28</v>
      </c>
      <c r="H365" s="6198" t="s">
        <v>28</v>
      </c>
      <c r="I365" s="6198" t="s">
        <v>980</v>
      </c>
    </row>
    <row customHeight="1" ht="11.25">
      <c r="A366" s="6198" t="s">
        <v>2323</v>
      </c>
      <c r="B366" s="6198" t="s">
        <v>16</v>
      </c>
      <c r="C366" s="6198" t="s">
        <v>2869</v>
      </c>
      <c r="D366" s="6198" t="s">
        <v>2870</v>
      </c>
      <c r="E366" s="6198" t="s">
        <v>2871</v>
      </c>
      <c r="F366" s="6198" t="s">
        <v>2388</v>
      </c>
      <c r="G366" s="6198" t="s">
        <v>28</v>
      </c>
      <c r="H366" s="6198" t="s">
        <v>28</v>
      </c>
      <c r="I366" s="6198" t="s">
        <v>980</v>
      </c>
    </row>
    <row customHeight="1" ht="11.25">
      <c r="A367" s="6198" t="s">
        <v>2323</v>
      </c>
      <c r="B367" s="6198" t="s">
        <v>16</v>
      </c>
      <c r="C367" s="6198" t="s">
        <v>2872</v>
      </c>
      <c r="D367" s="6198" t="s">
        <v>2873</v>
      </c>
      <c r="E367" s="6198" t="s">
        <v>2874</v>
      </c>
      <c r="F367" s="6198" t="s">
        <v>2746</v>
      </c>
      <c r="G367" s="6198" t="s">
        <v>28</v>
      </c>
      <c r="H367" s="6198" t="s">
        <v>28</v>
      </c>
      <c r="I367" s="6198" t="s">
        <v>980</v>
      </c>
    </row>
    <row customHeight="1" ht="11.25">
      <c r="A368" s="6198" t="s">
        <v>2323</v>
      </c>
      <c r="B368" s="6198" t="s">
        <v>16</v>
      </c>
      <c r="C368" s="6198" t="s">
        <v>2875</v>
      </c>
      <c r="D368" s="6198" t="s">
        <v>2876</v>
      </c>
      <c r="E368" s="6198" t="s">
        <v>2877</v>
      </c>
      <c r="F368" s="6198" t="s">
        <v>2330</v>
      </c>
      <c r="G368" s="6198" t="s">
        <v>28</v>
      </c>
      <c r="H368" s="6198" t="s">
        <v>28</v>
      </c>
      <c r="I368" s="6198" t="s">
        <v>980</v>
      </c>
    </row>
    <row customHeight="1" ht="11.25">
      <c r="A369" s="6198" t="s">
        <v>2323</v>
      </c>
      <c r="B369" s="6198" t="s">
        <v>16</v>
      </c>
      <c r="C369" s="6198" t="s">
        <v>2500</v>
      </c>
      <c r="D369" s="6198" t="s">
        <v>2501</v>
      </c>
      <c r="E369" s="6198" t="s">
        <v>2502</v>
      </c>
      <c r="F369" s="6198" t="s">
        <v>2503</v>
      </c>
      <c r="G369" s="6198" t="s">
        <v>28</v>
      </c>
      <c r="H369" s="6198" t="s">
        <v>28</v>
      </c>
      <c r="I369" s="6198" t="s">
        <v>980</v>
      </c>
    </row>
    <row customHeight="1" ht="11.25">
      <c r="A370" s="6198" t="s">
        <v>2323</v>
      </c>
      <c r="B370" s="6198" t="s">
        <v>16</v>
      </c>
      <c r="C370" s="6198" t="s">
        <v>2878</v>
      </c>
      <c r="D370" s="6198" t="s">
        <v>2879</v>
      </c>
      <c r="E370" s="6198" t="s">
        <v>2880</v>
      </c>
      <c r="F370" s="6198" t="s">
        <v>2746</v>
      </c>
      <c r="G370" s="6198" t="s">
        <v>28</v>
      </c>
      <c r="H370" s="6198" t="s">
        <v>28</v>
      </c>
      <c r="I370" s="6198" t="s">
        <v>980</v>
      </c>
    </row>
    <row customHeight="1" ht="11.25">
      <c r="A371" s="6198" t="s">
        <v>2323</v>
      </c>
      <c r="B371" s="6198" t="s">
        <v>16</v>
      </c>
      <c r="C371" s="6198" t="s">
        <v>2504</v>
      </c>
      <c r="D371" s="6198" t="s">
        <v>2505</v>
      </c>
      <c r="E371" s="6198" t="s">
        <v>2506</v>
      </c>
      <c r="F371" s="6198" t="s">
        <v>2464</v>
      </c>
      <c r="G371" s="6198" t="s">
        <v>28</v>
      </c>
      <c r="H371" s="6198" t="s">
        <v>28</v>
      </c>
      <c r="I371" s="6198" t="s">
        <v>980</v>
      </c>
    </row>
    <row customHeight="1" ht="11.25">
      <c r="A372" s="6198" t="s">
        <v>2323</v>
      </c>
      <c r="B372" s="6198" t="s">
        <v>16</v>
      </c>
      <c r="C372" s="6198" t="s">
        <v>2514</v>
      </c>
      <c r="D372" s="6198" t="s">
        <v>2515</v>
      </c>
      <c r="E372" s="6198" t="s">
        <v>2516</v>
      </c>
      <c r="F372" s="6198" t="s">
        <v>2517</v>
      </c>
      <c r="G372" s="6198" t="s">
        <v>28</v>
      </c>
      <c r="H372" s="6198" t="s">
        <v>28</v>
      </c>
      <c r="I372" s="6198" t="s">
        <v>980</v>
      </c>
    </row>
    <row customHeight="1" ht="11.25">
      <c r="A373" s="6198" t="s">
        <v>2323</v>
      </c>
      <c r="B373" s="6198" t="s">
        <v>16</v>
      </c>
      <c r="C373" s="6198" t="s">
        <v>3081</v>
      </c>
      <c r="D373" s="6198" t="s">
        <v>3082</v>
      </c>
      <c r="E373" s="6198" t="s">
        <v>3083</v>
      </c>
      <c r="F373" s="6198" t="s">
        <v>2380</v>
      </c>
      <c r="G373" s="6198" t="s">
        <v>28</v>
      </c>
      <c r="H373" s="6198" t="s">
        <v>28</v>
      </c>
      <c r="I373" s="6198" t="s">
        <v>980</v>
      </c>
    </row>
    <row customHeight="1" ht="11.25">
      <c r="A374" s="6198" t="s">
        <v>2323</v>
      </c>
      <c r="B374" s="6198" t="s">
        <v>16</v>
      </c>
      <c r="C374" s="6198" t="s">
        <v>2537</v>
      </c>
      <c r="D374" s="6198" t="s">
        <v>2538</v>
      </c>
      <c r="E374" s="6198" t="s">
        <v>2539</v>
      </c>
      <c r="F374" s="6198" t="s">
        <v>2486</v>
      </c>
      <c r="G374" s="6198" t="s">
        <v>28</v>
      </c>
      <c r="H374" s="6198" t="s">
        <v>28</v>
      </c>
      <c r="I374" s="6198" t="s">
        <v>980</v>
      </c>
    </row>
    <row customHeight="1" ht="11.25">
      <c r="A375" s="6198" t="s">
        <v>2323</v>
      </c>
      <c r="B375" s="6198" t="s">
        <v>16</v>
      </c>
      <c r="C375" s="6198" t="s">
        <v>2887</v>
      </c>
      <c r="D375" s="6198" t="s">
        <v>2888</v>
      </c>
      <c r="E375" s="6198" t="s">
        <v>2889</v>
      </c>
      <c r="F375" s="6198" t="s">
        <v>2359</v>
      </c>
      <c r="G375" s="6198" t="s">
        <v>2890</v>
      </c>
      <c r="H375" s="6198" t="s">
        <v>28</v>
      </c>
      <c r="I375" s="6198" t="s">
        <v>980</v>
      </c>
    </row>
    <row customHeight="1" ht="11.25">
      <c r="A376" s="6198" t="s">
        <v>2323</v>
      </c>
      <c r="B376" s="6198" t="s">
        <v>16</v>
      </c>
      <c r="C376" s="6198" t="s">
        <v>2891</v>
      </c>
      <c r="D376" s="6198" t="s">
        <v>2892</v>
      </c>
      <c r="E376" s="6198" t="s">
        <v>2893</v>
      </c>
      <c r="F376" s="6198" t="s">
        <v>2371</v>
      </c>
      <c r="G376" s="6198" t="s">
        <v>2894</v>
      </c>
      <c r="H376" s="6198" t="s">
        <v>28</v>
      </c>
      <c r="I376" s="6198" t="s">
        <v>980</v>
      </c>
    </row>
    <row customHeight="1" ht="11.25">
      <c r="A377" s="6198" t="s">
        <v>2323</v>
      </c>
      <c r="B377" s="6198" t="s">
        <v>16</v>
      </c>
      <c r="C377" s="6198" t="s">
        <v>2895</v>
      </c>
      <c r="D377" s="6198" t="s">
        <v>2896</v>
      </c>
      <c r="E377" s="6198" t="s">
        <v>2897</v>
      </c>
      <c r="F377" s="6198" t="s">
        <v>2643</v>
      </c>
      <c r="G377" s="6198" t="s">
        <v>2898</v>
      </c>
      <c r="H377" s="6198" t="s">
        <v>28</v>
      </c>
      <c r="I377" s="6198" t="s">
        <v>980</v>
      </c>
    </row>
    <row customHeight="1" ht="11.25">
      <c r="A378" s="6198" t="s">
        <v>2323</v>
      </c>
      <c r="B378" s="6198" t="s">
        <v>16</v>
      </c>
      <c r="C378" s="6198" t="s">
        <v>2899</v>
      </c>
      <c r="D378" s="6198" t="s">
        <v>2900</v>
      </c>
      <c r="E378" s="6198" t="s">
        <v>2901</v>
      </c>
      <c r="F378" s="6198" t="s">
        <v>2902</v>
      </c>
      <c r="G378" s="6198" t="s">
        <v>28</v>
      </c>
      <c r="H378" s="6198" t="s">
        <v>28</v>
      </c>
      <c r="I378" s="6198" t="s">
        <v>980</v>
      </c>
    </row>
    <row customHeight="1" ht="11.25">
      <c r="A379" s="6198" t="s">
        <v>2323</v>
      </c>
      <c r="B379" s="6198" t="s">
        <v>16</v>
      </c>
      <c r="C379" s="6198" t="s">
        <v>2907</v>
      </c>
      <c r="D379" s="6198" t="s">
        <v>2908</v>
      </c>
      <c r="E379" s="6198" t="s">
        <v>2909</v>
      </c>
      <c r="F379" s="6198" t="s">
        <v>2351</v>
      </c>
      <c r="G379" s="6198" t="s">
        <v>28</v>
      </c>
      <c r="H379" s="6198" t="s">
        <v>28</v>
      </c>
      <c r="I379" s="6198" t="s">
        <v>980</v>
      </c>
    </row>
    <row customHeight="1" ht="11.25">
      <c r="A380" s="6198" t="s">
        <v>2323</v>
      </c>
      <c r="B380" s="6198" t="s">
        <v>16</v>
      </c>
      <c r="C380" s="6198" t="s">
        <v>2910</v>
      </c>
      <c r="D380" s="6198" t="s">
        <v>2911</v>
      </c>
      <c r="E380" s="6198" t="s">
        <v>2912</v>
      </c>
      <c r="F380" s="6198" t="s">
        <v>2913</v>
      </c>
      <c r="G380" s="6198" t="s">
        <v>28</v>
      </c>
      <c r="H380" s="6198" t="s">
        <v>28</v>
      </c>
      <c r="I380" s="6198" t="s">
        <v>980</v>
      </c>
    </row>
    <row customHeight="1" ht="11.25">
      <c r="A381" s="6198" t="s">
        <v>2323</v>
      </c>
      <c r="B381" s="6198" t="s">
        <v>16</v>
      </c>
      <c r="C381" s="6198" t="s">
        <v>2914</v>
      </c>
      <c r="D381" s="6198" t="s">
        <v>2915</v>
      </c>
      <c r="E381" s="6198" t="s">
        <v>2916</v>
      </c>
      <c r="F381" s="6198" t="s">
        <v>2720</v>
      </c>
      <c r="G381" s="6198" t="s">
        <v>28</v>
      </c>
      <c r="H381" s="6198" t="s">
        <v>28</v>
      </c>
      <c r="I381" s="6198" t="s">
        <v>980</v>
      </c>
    </row>
    <row customHeight="1" ht="11.25">
      <c r="A382" s="6198" t="s">
        <v>2323</v>
      </c>
      <c r="B382" s="6198" t="s">
        <v>16</v>
      </c>
      <c r="C382" s="6198" t="s">
        <v>3084</v>
      </c>
      <c r="D382" s="6198" t="s">
        <v>3085</v>
      </c>
      <c r="E382" s="6198" t="s">
        <v>3086</v>
      </c>
      <c r="F382" s="6198" t="s">
        <v>2334</v>
      </c>
      <c r="G382" s="6198" t="s">
        <v>2906</v>
      </c>
      <c r="H382" s="6198" t="s">
        <v>28</v>
      </c>
      <c r="I382" s="6198" t="s">
        <v>980</v>
      </c>
    </row>
    <row customHeight="1" ht="11.25">
      <c r="A383" s="6198" t="s">
        <v>2323</v>
      </c>
      <c r="B383" s="6198" t="s">
        <v>16</v>
      </c>
      <c r="C383" s="6198" t="s">
        <v>3087</v>
      </c>
      <c r="D383" s="6198" t="s">
        <v>3085</v>
      </c>
      <c r="E383" s="6198" t="s">
        <v>3088</v>
      </c>
      <c r="F383" s="6198" t="s">
        <v>2746</v>
      </c>
      <c r="G383" s="6198" t="s">
        <v>2920</v>
      </c>
      <c r="H383" s="6198" t="s">
        <v>28</v>
      </c>
      <c r="I383" s="6198" t="s">
        <v>980</v>
      </c>
    </row>
    <row customHeight="1" ht="11.25">
      <c r="A384" s="6198" t="s">
        <v>2323</v>
      </c>
      <c r="B384" s="6198" t="s">
        <v>16</v>
      </c>
      <c r="C384" s="6198" t="s">
        <v>2552</v>
      </c>
      <c r="D384" s="6198" t="s">
        <v>2553</v>
      </c>
      <c r="E384" s="6198" t="s">
        <v>2554</v>
      </c>
      <c r="F384" s="6198" t="s">
        <v>2555</v>
      </c>
      <c r="G384" s="6198" t="s">
        <v>2556</v>
      </c>
      <c r="H384" s="6198" t="s">
        <v>28</v>
      </c>
      <c r="I384" s="6198" t="s">
        <v>980</v>
      </c>
    </row>
    <row customHeight="1" ht="11.25">
      <c r="A385" s="6198" t="s">
        <v>2323</v>
      </c>
      <c r="B385" s="6198" t="s">
        <v>16</v>
      </c>
      <c r="C385" s="6198" t="s">
        <v>2921</v>
      </c>
      <c r="D385" s="6198" t="s">
        <v>2922</v>
      </c>
      <c r="E385" s="6198" t="s">
        <v>2923</v>
      </c>
      <c r="F385" s="6198" t="s">
        <v>2359</v>
      </c>
      <c r="G385" s="6198" t="s">
        <v>28</v>
      </c>
      <c r="H385" s="6198" t="s">
        <v>28</v>
      </c>
      <c r="I385" s="6198" t="s">
        <v>980</v>
      </c>
    </row>
    <row customHeight="1" ht="11.25">
      <c r="A386" s="6198" t="s">
        <v>2323</v>
      </c>
      <c r="B386" s="6198" t="s">
        <v>16</v>
      </c>
      <c r="C386" s="6198" t="s">
        <v>3089</v>
      </c>
      <c r="D386" s="6198" t="s">
        <v>3090</v>
      </c>
      <c r="E386" s="6198" t="s">
        <v>3091</v>
      </c>
      <c r="F386" s="6198" t="s">
        <v>2330</v>
      </c>
      <c r="G386" s="6198" t="s">
        <v>28</v>
      </c>
      <c r="H386" s="6198" t="s">
        <v>28</v>
      </c>
      <c r="I386" s="6198" t="s">
        <v>980</v>
      </c>
    </row>
    <row customHeight="1" ht="11.25">
      <c r="A387" s="6198" t="s">
        <v>2323</v>
      </c>
      <c r="B387" s="6198" t="s">
        <v>16</v>
      </c>
      <c r="C387" s="6198" t="s">
        <v>2927</v>
      </c>
      <c r="D387" s="6198" t="s">
        <v>2928</v>
      </c>
      <c r="E387" s="6198" t="s">
        <v>2929</v>
      </c>
      <c r="F387" s="6198" t="s">
        <v>2326</v>
      </c>
      <c r="G387" s="6198" t="s">
        <v>28</v>
      </c>
      <c r="H387" s="6198" t="s">
        <v>28</v>
      </c>
      <c r="I387" s="6198" t="s">
        <v>980</v>
      </c>
    </row>
    <row customHeight="1" ht="11.25">
      <c r="A388" s="6198" t="s">
        <v>2323</v>
      </c>
      <c r="B388" s="6198" t="s">
        <v>16</v>
      </c>
      <c r="C388" s="6198" t="s">
        <v>2930</v>
      </c>
      <c r="D388" s="6198" t="s">
        <v>2931</v>
      </c>
      <c r="E388" s="6198" t="s">
        <v>2932</v>
      </c>
      <c r="F388" s="6198" t="s">
        <v>2330</v>
      </c>
      <c r="G388" s="6198" t="s">
        <v>28</v>
      </c>
      <c r="H388" s="6198" t="s">
        <v>28</v>
      </c>
      <c r="I388" s="6198" t="s">
        <v>980</v>
      </c>
    </row>
    <row customHeight="1" ht="11.25">
      <c r="A389" s="6198" t="s">
        <v>2323</v>
      </c>
      <c r="B389" s="6198" t="s">
        <v>16</v>
      </c>
      <c r="C389" s="6198" t="s">
        <v>2569</v>
      </c>
      <c r="D389" s="6198" t="s">
        <v>2570</v>
      </c>
      <c r="E389" s="6198" t="s">
        <v>2571</v>
      </c>
      <c r="F389" s="6198" t="s">
        <v>2555</v>
      </c>
      <c r="G389" s="6198" t="s">
        <v>28</v>
      </c>
      <c r="H389" s="6198" t="s">
        <v>28</v>
      </c>
      <c r="I389" s="6198" t="s">
        <v>980</v>
      </c>
    </row>
    <row customHeight="1" ht="11.25">
      <c r="A390" s="6198" t="s">
        <v>2323</v>
      </c>
      <c r="B390" s="6198" t="s">
        <v>16</v>
      </c>
      <c r="C390" s="6198" t="s">
        <v>2575</v>
      </c>
      <c r="D390" s="6198" t="s">
        <v>2576</v>
      </c>
      <c r="E390" s="6198" t="s">
        <v>2577</v>
      </c>
      <c r="F390" s="6198" t="s">
        <v>2555</v>
      </c>
      <c r="G390" s="6198" t="s">
        <v>28</v>
      </c>
      <c r="H390" s="6198" t="s">
        <v>28</v>
      </c>
      <c r="I390" s="6198" t="s">
        <v>980</v>
      </c>
    </row>
    <row customHeight="1" ht="11.25">
      <c r="A391" s="6198" t="s">
        <v>2323</v>
      </c>
      <c r="B391" s="6198" t="s">
        <v>16</v>
      </c>
      <c r="C391" s="6198" t="s">
        <v>2933</v>
      </c>
      <c r="D391" s="6198" t="s">
        <v>2934</v>
      </c>
      <c r="E391" s="6198" t="s">
        <v>2935</v>
      </c>
      <c r="F391" s="6198" t="s">
        <v>2555</v>
      </c>
      <c r="G391" s="6198" t="s">
        <v>28</v>
      </c>
      <c r="H391" s="6198" t="s">
        <v>28</v>
      </c>
      <c r="I391" s="6198" t="s">
        <v>980</v>
      </c>
    </row>
    <row customHeight="1" ht="11.25">
      <c r="A392" s="6198" t="s">
        <v>2323</v>
      </c>
      <c r="B392" s="6198" t="s">
        <v>16</v>
      </c>
      <c r="C392" s="6198" t="s">
        <v>2936</v>
      </c>
      <c r="D392" s="6198" t="s">
        <v>2937</v>
      </c>
      <c r="E392" s="6198" t="s">
        <v>2938</v>
      </c>
      <c r="F392" s="6198" t="s">
        <v>2503</v>
      </c>
      <c r="G392" s="6198" t="s">
        <v>2939</v>
      </c>
      <c r="H392" s="6198" t="s">
        <v>28</v>
      </c>
      <c r="I392" s="6198" t="s">
        <v>980</v>
      </c>
    </row>
    <row customHeight="1" ht="11.25">
      <c r="A393" s="6198" t="s">
        <v>2323</v>
      </c>
      <c r="B393" s="6198" t="s">
        <v>16</v>
      </c>
      <c r="C393" s="6198" t="s">
        <v>2940</v>
      </c>
      <c r="D393" s="6198" t="s">
        <v>2941</v>
      </c>
      <c r="E393" s="6198" t="s">
        <v>2942</v>
      </c>
      <c r="F393" s="6198" t="s">
        <v>2330</v>
      </c>
      <c r="G393" s="6198" t="s">
        <v>2943</v>
      </c>
      <c r="H393" s="6198" t="s">
        <v>28</v>
      </c>
      <c r="I393" s="6198" t="s">
        <v>980</v>
      </c>
    </row>
    <row customHeight="1" ht="11.25">
      <c r="A394" s="6198" t="s">
        <v>2323</v>
      </c>
      <c r="B394" s="6198" t="s">
        <v>16</v>
      </c>
      <c r="C394" s="6198" t="s">
        <v>2944</v>
      </c>
      <c r="D394" s="6198" t="s">
        <v>2945</v>
      </c>
      <c r="E394" s="6198" t="s">
        <v>2946</v>
      </c>
      <c r="F394" s="6198" t="s">
        <v>2454</v>
      </c>
      <c r="G394" s="6198" t="s">
        <v>28</v>
      </c>
      <c r="H394" s="6198" t="s">
        <v>28</v>
      </c>
      <c r="I394" s="6198" t="s">
        <v>980</v>
      </c>
    </row>
    <row customHeight="1" ht="11.25">
      <c r="A395" s="6198" t="s">
        <v>2323</v>
      </c>
      <c r="B395" s="6198" t="s">
        <v>16</v>
      </c>
      <c r="C395" s="6198" t="s">
        <v>2947</v>
      </c>
      <c r="D395" s="6198" t="s">
        <v>2948</v>
      </c>
      <c r="E395" s="6198" t="s">
        <v>2949</v>
      </c>
      <c r="F395" s="6198" t="s">
        <v>2746</v>
      </c>
      <c r="G395" s="6198" t="s">
        <v>2950</v>
      </c>
      <c r="H395" s="6198" t="s">
        <v>28</v>
      </c>
      <c r="I395" s="6198" t="s">
        <v>980</v>
      </c>
    </row>
    <row customHeight="1" ht="11.25">
      <c r="A396" s="6198" t="s">
        <v>2323</v>
      </c>
      <c r="B396" s="6198" t="s">
        <v>16</v>
      </c>
      <c r="C396" s="6198" t="s">
        <v>2951</v>
      </c>
      <c r="D396" s="6198" t="s">
        <v>2952</v>
      </c>
      <c r="E396" s="6198" t="s">
        <v>2953</v>
      </c>
      <c r="F396" s="6198" t="s">
        <v>2380</v>
      </c>
      <c r="G396" s="6198" t="s">
        <v>2954</v>
      </c>
      <c r="H396" s="6198" t="s">
        <v>28</v>
      </c>
      <c r="I396" s="6198" t="s">
        <v>980</v>
      </c>
    </row>
    <row customHeight="1" ht="11.25">
      <c r="A397" s="6198" t="s">
        <v>2323</v>
      </c>
      <c r="B397" s="6198" t="s">
        <v>16</v>
      </c>
      <c r="C397" s="6198" t="s">
        <v>3092</v>
      </c>
      <c r="D397" s="6198" t="s">
        <v>3093</v>
      </c>
      <c r="E397" s="6198" t="s">
        <v>3094</v>
      </c>
      <c r="F397" s="6198" t="s">
        <v>2326</v>
      </c>
      <c r="G397" s="6198" t="s">
        <v>28</v>
      </c>
      <c r="H397" s="6198" t="s">
        <v>28</v>
      </c>
      <c r="I397" s="6198" t="s">
        <v>980</v>
      </c>
    </row>
    <row customHeight="1" ht="11.25">
      <c r="A398" s="6198" t="s">
        <v>2323</v>
      </c>
      <c r="B398" s="6198" t="s">
        <v>16</v>
      </c>
      <c r="C398" s="6198" t="s">
        <v>2587</v>
      </c>
      <c r="D398" s="6198" t="s">
        <v>2588</v>
      </c>
      <c r="E398" s="6198" t="s">
        <v>2589</v>
      </c>
      <c r="F398" s="6198" t="s">
        <v>2555</v>
      </c>
      <c r="G398" s="6198" t="s">
        <v>28</v>
      </c>
      <c r="H398" s="6198" t="s">
        <v>28</v>
      </c>
      <c r="I398" s="6198" t="s">
        <v>980</v>
      </c>
    </row>
    <row customHeight="1" ht="11.25">
      <c r="A399" s="6198" t="s">
        <v>2323</v>
      </c>
      <c r="B399" s="6198" t="s">
        <v>16</v>
      </c>
      <c r="C399" s="6198" t="s">
        <v>2959</v>
      </c>
      <c r="D399" s="6198" t="s">
        <v>2960</v>
      </c>
      <c r="E399" s="6198" t="s">
        <v>2961</v>
      </c>
      <c r="F399" s="6198" t="s">
        <v>2503</v>
      </c>
      <c r="G399" s="6198" t="s">
        <v>28</v>
      </c>
      <c r="H399" s="6198" t="s">
        <v>28</v>
      </c>
      <c r="I399" s="6198" t="s">
        <v>980</v>
      </c>
    </row>
    <row customHeight="1" ht="11.25">
      <c r="A400" s="6198" t="s">
        <v>2323</v>
      </c>
      <c r="B400" s="6198" t="s">
        <v>16</v>
      </c>
      <c r="C400" s="6198" t="s">
        <v>2600</v>
      </c>
      <c r="D400" s="6198" t="s">
        <v>2601</v>
      </c>
      <c r="E400" s="6198" t="s">
        <v>2602</v>
      </c>
      <c r="F400" s="6198" t="s">
        <v>2359</v>
      </c>
      <c r="G400" s="6198" t="s">
        <v>28</v>
      </c>
      <c r="H400" s="6198" t="s">
        <v>28</v>
      </c>
      <c r="I400" s="6198" t="s">
        <v>980</v>
      </c>
    </row>
    <row customHeight="1" ht="11.25">
      <c r="A401" s="6198" t="s">
        <v>2323</v>
      </c>
      <c r="B401" s="6198" t="s">
        <v>16</v>
      </c>
      <c r="C401" s="6198" t="s">
        <v>2618</v>
      </c>
      <c r="D401" s="6198" t="s">
        <v>2619</v>
      </c>
      <c r="E401" s="6198" t="s">
        <v>2620</v>
      </c>
      <c r="F401" s="6198" t="s">
        <v>2524</v>
      </c>
      <c r="G401" s="6198" t="s">
        <v>2621</v>
      </c>
      <c r="H401" s="6198" t="s">
        <v>28</v>
      </c>
      <c r="I401" s="6198" t="s">
        <v>980</v>
      </c>
    </row>
    <row customHeight="1" ht="11.25">
      <c r="A402" s="6198" t="s">
        <v>2323</v>
      </c>
      <c r="B402" s="6198" t="s">
        <v>16</v>
      </c>
      <c r="C402" s="6198" t="s">
        <v>2962</v>
      </c>
      <c r="D402" s="6198" t="s">
        <v>2963</v>
      </c>
      <c r="E402" s="6198" t="s">
        <v>2964</v>
      </c>
      <c r="F402" s="6198" t="s">
        <v>2510</v>
      </c>
      <c r="G402" s="6198" t="s">
        <v>28</v>
      </c>
      <c r="H402" s="6198" t="s">
        <v>28</v>
      </c>
      <c r="I402" s="6198" t="s">
        <v>980</v>
      </c>
    </row>
    <row customHeight="1" ht="11.25">
      <c r="A403" s="6198" t="s">
        <v>2323</v>
      </c>
      <c r="B403" s="6198" t="s">
        <v>16</v>
      </c>
      <c r="C403" s="6198" t="s">
        <v>2965</v>
      </c>
      <c r="D403" s="6198" t="s">
        <v>2966</v>
      </c>
      <c r="E403" s="6198" t="s">
        <v>2967</v>
      </c>
      <c r="F403" s="6198" t="s">
        <v>2454</v>
      </c>
      <c r="G403" s="6198" t="s">
        <v>28</v>
      </c>
      <c r="H403" s="6198" t="s">
        <v>28</v>
      </c>
      <c r="I403" s="6198" t="s">
        <v>980</v>
      </c>
    </row>
    <row customHeight="1" ht="11.25">
      <c r="A404" s="6198" t="s">
        <v>2323</v>
      </c>
      <c r="B404" s="6198" t="s">
        <v>16</v>
      </c>
      <c r="C404" s="6198" t="s">
        <v>2968</v>
      </c>
      <c r="D404" s="6198" t="s">
        <v>2969</v>
      </c>
      <c r="E404" s="6198" t="s">
        <v>2970</v>
      </c>
      <c r="F404" s="6198" t="s">
        <v>2971</v>
      </c>
      <c r="G404" s="6198" t="s">
        <v>28</v>
      </c>
      <c r="H404" s="6198" t="s">
        <v>28</v>
      </c>
      <c r="I404" s="6198" t="s">
        <v>980</v>
      </c>
    </row>
    <row customHeight="1" ht="11.25">
      <c r="A405" s="6198" t="s">
        <v>2323</v>
      </c>
      <c r="B405" s="6198" t="s">
        <v>16</v>
      </c>
      <c r="C405" s="6198" t="s">
        <v>2972</v>
      </c>
      <c r="D405" s="6198" t="s">
        <v>2973</v>
      </c>
      <c r="E405" s="6198" t="s">
        <v>2974</v>
      </c>
      <c r="F405" s="6198" t="s">
        <v>2524</v>
      </c>
      <c r="G405" s="6198" t="s">
        <v>28</v>
      </c>
      <c r="H405" s="6198" t="s">
        <v>28</v>
      </c>
      <c r="I405" s="6198" t="s">
        <v>980</v>
      </c>
    </row>
    <row customHeight="1" ht="11.25">
      <c r="A406" s="6198" t="s">
        <v>2323</v>
      </c>
      <c r="B406" s="6198" t="s">
        <v>16</v>
      </c>
      <c r="C406" s="6198" t="s">
        <v>2975</v>
      </c>
      <c r="D406" s="6198" t="s">
        <v>2976</v>
      </c>
      <c r="E406" s="6198" t="s">
        <v>2977</v>
      </c>
      <c r="F406" s="6198" t="s">
        <v>2351</v>
      </c>
      <c r="G406" s="6198" t="s">
        <v>28</v>
      </c>
      <c r="H406" s="6198" t="s">
        <v>28</v>
      </c>
      <c r="I406" s="6198" t="s">
        <v>980</v>
      </c>
    </row>
    <row customHeight="1" ht="11.25">
      <c r="A407" s="6198" t="s">
        <v>2323</v>
      </c>
      <c r="B407" s="6198" t="s">
        <v>16</v>
      </c>
      <c r="C407" s="6198" t="s">
        <v>2637</v>
      </c>
      <c r="D407" s="6198" t="s">
        <v>2638</v>
      </c>
      <c r="E407" s="6198" t="s">
        <v>2639</v>
      </c>
      <c r="F407" s="6198" t="s">
        <v>2503</v>
      </c>
      <c r="G407" s="6198" t="s">
        <v>2381</v>
      </c>
      <c r="H407" s="6198" t="s">
        <v>28</v>
      </c>
      <c r="I407" s="6198" t="s">
        <v>980</v>
      </c>
    </row>
    <row customHeight="1" ht="11.25">
      <c r="A408" s="6198" t="s">
        <v>2323</v>
      </c>
      <c r="B408" s="6198" t="s">
        <v>16</v>
      </c>
      <c r="C408" s="6198" t="s">
        <v>3095</v>
      </c>
      <c r="D408" s="6198" t="s">
        <v>3096</v>
      </c>
      <c r="E408" s="6198" t="s">
        <v>3097</v>
      </c>
      <c r="F408" s="6198" t="s">
        <v>2643</v>
      </c>
      <c r="G408" s="6198" t="s">
        <v>3098</v>
      </c>
      <c r="H408" s="6198" t="s">
        <v>28</v>
      </c>
      <c r="I408" s="6198" t="s">
        <v>980</v>
      </c>
    </row>
    <row customHeight="1" ht="11.25">
      <c r="A409" s="6198" t="s">
        <v>2323</v>
      </c>
      <c r="B409" s="6198" t="s">
        <v>16</v>
      </c>
      <c r="C409" s="6198" t="s">
        <v>2978</v>
      </c>
      <c r="D409" s="6198" t="s">
        <v>2979</v>
      </c>
      <c r="E409" s="6198" t="s">
        <v>2980</v>
      </c>
      <c r="F409" s="6198" t="s">
        <v>2503</v>
      </c>
      <c r="G409" s="6198" t="s">
        <v>28</v>
      </c>
      <c r="H409" s="6198" t="s">
        <v>28</v>
      </c>
      <c r="I409" s="6198" t="s">
        <v>980</v>
      </c>
    </row>
    <row customHeight="1" ht="11.25">
      <c r="A410" s="6198" t="s">
        <v>2323</v>
      </c>
      <c r="B410" s="6198" t="s">
        <v>16</v>
      </c>
      <c r="C410" s="6198" t="s">
        <v>2661</v>
      </c>
      <c r="D410" s="6198" t="s">
        <v>2662</v>
      </c>
      <c r="E410" s="6198" t="s">
        <v>2663</v>
      </c>
      <c r="F410" s="6198" t="s">
        <v>2664</v>
      </c>
      <c r="G410" s="6198" t="s">
        <v>28</v>
      </c>
      <c r="H410" s="6198" t="s">
        <v>28</v>
      </c>
      <c r="I410" s="6198" t="s">
        <v>980</v>
      </c>
    </row>
    <row customHeight="1" ht="11.25">
      <c r="A411" s="6198" t="s">
        <v>2323</v>
      </c>
      <c r="B411" s="6198" t="s">
        <v>16</v>
      </c>
      <c r="C411" s="6198" t="s">
        <v>2984</v>
      </c>
      <c r="D411" s="6198" t="s">
        <v>2985</v>
      </c>
      <c r="E411" s="6198" t="s">
        <v>2986</v>
      </c>
      <c r="F411" s="6198" t="s">
        <v>2351</v>
      </c>
      <c r="G411" s="6198" t="s">
        <v>28</v>
      </c>
      <c r="H411" s="6198" t="s">
        <v>28</v>
      </c>
      <c r="I411" s="6198" t="s">
        <v>980</v>
      </c>
    </row>
    <row customHeight="1" ht="11.25">
      <c r="A412" s="6198" t="s">
        <v>2323</v>
      </c>
      <c r="B412" s="6198" t="s">
        <v>16</v>
      </c>
      <c r="C412" s="6198" t="s">
        <v>2987</v>
      </c>
      <c r="D412" s="6198" t="s">
        <v>2988</v>
      </c>
      <c r="E412" s="6198" t="s">
        <v>2989</v>
      </c>
      <c r="F412" s="6198" t="s">
        <v>2555</v>
      </c>
      <c r="G412" s="6198" t="s">
        <v>28</v>
      </c>
      <c r="H412" s="6198" t="s">
        <v>28</v>
      </c>
      <c r="I412" s="6198" t="s">
        <v>980</v>
      </c>
    </row>
    <row customHeight="1" ht="11.25">
      <c r="A413" s="6198" t="s">
        <v>2323</v>
      </c>
      <c r="B413" s="6198" t="s">
        <v>16</v>
      </c>
      <c r="C413" s="6198" t="s">
        <v>2996</v>
      </c>
      <c r="D413" s="6198" t="s">
        <v>2997</v>
      </c>
      <c r="E413" s="6198" t="s">
        <v>2998</v>
      </c>
      <c r="F413" s="6198" t="s">
        <v>2425</v>
      </c>
      <c r="G413" s="6198" t="s">
        <v>28</v>
      </c>
      <c r="H413" s="6198" t="s">
        <v>28</v>
      </c>
      <c r="I413" s="6198" t="s">
        <v>980</v>
      </c>
    </row>
    <row customHeight="1" ht="11.25">
      <c r="A414" s="6198" t="s">
        <v>2323</v>
      </c>
      <c r="B414" s="6198" t="s">
        <v>16</v>
      </c>
      <c r="C414" s="6198" t="s">
        <v>2999</v>
      </c>
      <c r="D414" s="6198" t="s">
        <v>3000</v>
      </c>
      <c r="E414" s="6198" t="s">
        <v>3001</v>
      </c>
      <c r="F414" s="6198" t="s">
        <v>2326</v>
      </c>
      <c r="G414" s="6198" t="s">
        <v>28</v>
      </c>
      <c r="H414" s="6198" t="s">
        <v>28</v>
      </c>
      <c r="I414" s="6198" t="s">
        <v>980</v>
      </c>
    </row>
    <row customHeight="1" ht="11.25">
      <c r="A415" s="6198" t="s">
        <v>2323</v>
      </c>
      <c r="B415" s="6198" t="s">
        <v>16</v>
      </c>
      <c r="C415" s="6198" t="s">
        <v>3005</v>
      </c>
      <c r="D415" s="6198" t="s">
        <v>3006</v>
      </c>
      <c r="E415" s="6198" t="s">
        <v>3007</v>
      </c>
      <c r="F415" s="6198" t="s">
        <v>2371</v>
      </c>
      <c r="G415" s="6198" t="s">
        <v>3008</v>
      </c>
      <c r="H415" s="6198" t="s">
        <v>28</v>
      </c>
      <c r="I415" s="6198" t="s">
        <v>980</v>
      </c>
    </row>
    <row customHeight="1" ht="11.25">
      <c r="A416" s="6198" t="s">
        <v>2323</v>
      </c>
      <c r="B416" s="6198" t="s">
        <v>16</v>
      </c>
      <c r="C416" s="6198" t="s">
        <v>3009</v>
      </c>
      <c r="D416" s="6198" t="s">
        <v>3010</v>
      </c>
      <c r="E416" s="6198" t="s">
        <v>2325</v>
      </c>
      <c r="F416" s="6198" t="s">
        <v>2326</v>
      </c>
      <c r="G416" s="6198" t="s">
        <v>28</v>
      </c>
      <c r="H416" s="6198" t="s">
        <v>28</v>
      </c>
      <c r="I416" s="6198" t="s">
        <v>980</v>
      </c>
    </row>
    <row customHeight="1" ht="11.25">
      <c r="A417" s="6198" t="s">
        <v>2323</v>
      </c>
      <c r="B417" s="6198" t="s">
        <v>16</v>
      </c>
      <c r="C417" s="6198" t="s">
        <v>3011</v>
      </c>
      <c r="D417" s="6198" t="s">
        <v>3012</v>
      </c>
      <c r="E417" s="6198" t="s">
        <v>3013</v>
      </c>
      <c r="F417" s="6198" t="s">
        <v>2330</v>
      </c>
      <c r="G417" s="6198" t="s">
        <v>28</v>
      </c>
      <c r="H417" s="6198" t="s">
        <v>28</v>
      </c>
      <c r="I417" s="6198" t="s">
        <v>980</v>
      </c>
    </row>
    <row customHeight="1" ht="11.25">
      <c r="A418" s="6198" t="s">
        <v>2323</v>
      </c>
      <c r="B418" s="6198" t="s">
        <v>16</v>
      </c>
      <c r="C418" s="6198" t="s">
        <v>3014</v>
      </c>
      <c r="D418" s="6198" t="s">
        <v>3015</v>
      </c>
      <c r="E418" s="6198" t="s">
        <v>3016</v>
      </c>
      <c r="F418" s="6198" t="s">
        <v>2330</v>
      </c>
      <c r="G418" s="6198" t="s">
        <v>28</v>
      </c>
      <c r="H418" s="6198" t="s">
        <v>28</v>
      </c>
      <c r="I418" s="6198" t="s">
        <v>980</v>
      </c>
    </row>
    <row customHeight="1" ht="11.25">
      <c r="A419" s="6198" t="s">
        <v>2323</v>
      </c>
      <c r="B419" s="6198" t="s">
        <v>16</v>
      </c>
      <c r="C419" s="6198" t="s">
        <v>2668</v>
      </c>
      <c r="D419" s="6198" t="s">
        <v>2669</v>
      </c>
      <c r="E419" s="6198" t="s">
        <v>2670</v>
      </c>
      <c r="F419" s="6198" t="s">
        <v>2338</v>
      </c>
      <c r="G419" s="6198" t="s">
        <v>28</v>
      </c>
      <c r="H419" s="6198" t="s">
        <v>28</v>
      </c>
      <c r="I419" s="6198" t="s">
        <v>980</v>
      </c>
    </row>
    <row customHeight="1" ht="11.25">
      <c r="A420" s="6198" t="s">
        <v>2323</v>
      </c>
      <c r="B420" s="6198" t="s">
        <v>16</v>
      </c>
      <c r="C420" s="6198" t="s">
        <v>2679</v>
      </c>
      <c r="D420" s="6198" t="s">
        <v>2680</v>
      </c>
      <c r="E420" s="6198" t="s">
        <v>2681</v>
      </c>
      <c r="F420" s="6198" t="s">
        <v>2650</v>
      </c>
      <c r="G420" s="6198" t="s">
        <v>2682</v>
      </c>
      <c r="H420" s="6198" t="s">
        <v>28</v>
      </c>
      <c r="I420" s="6198" t="s">
        <v>980</v>
      </c>
    </row>
    <row customHeight="1" ht="11.25">
      <c r="A421" s="6198" t="s">
        <v>2323</v>
      </c>
      <c r="B421" s="6198" t="s">
        <v>16</v>
      </c>
      <c r="C421" s="6198" t="s">
        <v>2683</v>
      </c>
      <c r="D421" s="6198" t="s">
        <v>2684</v>
      </c>
      <c r="E421" s="6198" t="s">
        <v>2685</v>
      </c>
      <c r="F421" s="6198" t="s">
        <v>2371</v>
      </c>
      <c r="G421" s="6198" t="s">
        <v>2686</v>
      </c>
      <c r="H421" s="6198" t="s">
        <v>28</v>
      </c>
      <c r="I421" s="6198" t="s">
        <v>980</v>
      </c>
    </row>
    <row customHeight="1" ht="11.25">
      <c r="A422" s="6198" t="s">
        <v>2323</v>
      </c>
      <c r="B422" s="6198" t="s">
        <v>16</v>
      </c>
      <c r="C422" s="6198" t="s">
        <v>3023</v>
      </c>
      <c r="D422" s="6198" t="s">
        <v>3024</v>
      </c>
      <c r="E422" s="6198" t="s">
        <v>3025</v>
      </c>
      <c r="F422" s="6198" t="s">
        <v>3026</v>
      </c>
      <c r="G422" s="6198" t="s">
        <v>28</v>
      </c>
      <c r="H422" s="6198" t="s">
        <v>28</v>
      </c>
      <c r="I422" s="6198" t="s">
        <v>980</v>
      </c>
    </row>
    <row customHeight="1" ht="11.25">
      <c r="A423" s="6198" t="s">
        <v>2323</v>
      </c>
      <c r="B423" s="6198" t="s">
        <v>16</v>
      </c>
      <c r="C423" s="6198" t="s">
        <v>3027</v>
      </c>
      <c r="D423" s="6198" t="s">
        <v>3028</v>
      </c>
      <c r="E423" s="6198" t="s">
        <v>3029</v>
      </c>
      <c r="F423" s="6198" t="s">
        <v>2454</v>
      </c>
      <c r="G423" s="6198" t="s">
        <v>28</v>
      </c>
      <c r="H423" s="6198" t="s">
        <v>28</v>
      </c>
      <c r="I423" s="6198" t="s">
        <v>980</v>
      </c>
    </row>
    <row customHeight="1" ht="11.25">
      <c r="A424" s="6198" t="s">
        <v>2323</v>
      </c>
      <c r="B424" s="6198" t="s">
        <v>16</v>
      </c>
      <c r="C424" s="6198" t="s">
        <v>2697</v>
      </c>
      <c r="D424" s="6198" t="s">
        <v>2698</v>
      </c>
      <c r="E424" s="6198" t="s">
        <v>2699</v>
      </c>
      <c r="F424" s="6198" t="s">
        <v>2524</v>
      </c>
      <c r="G424" s="6198" t="s">
        <v>28</v>
      </c>
      <c r="H424" s="6198" t="s">
        <v>28</v>
      </c>
      <c r="I424" s="6198" t="s">
        <v>980</v>
      </c>
    </row>
    <row customHeight="1" ht="11.25">
      <c r="A425" s="6198" t="s">
        <v>2323</v>
      </c>
      <c r="B425" s="6198" t="s">
        <v>16</v>
      </c>
      <c r="C425" s="6198" t="s">
        <v>2700</v>
      </c>
      <c r="D425" s="6198" t="s">
        <v>2701</v>
      </c>
      <c r="E425" s="6198" t="s">
        <v>2702</v>
      </c>
      <c r="F425" s="6198" t="s">
        <v>2703</v>
      </c>
      <c r="G425" s="6198" t="s">
        <v>2704</v>
      </c>
      <c r="H425" s="6198" t="s">
        <v>28</v>
      </c>
      <c r="I425" s="6198" t="s">
        <v>980</v>
      </c>
    </row>
    <row customHeight="1" ht="11.25">
      <c r="A426" s="6198" t="s">
        <v>2323</v>
      </c>
      <c r="B426" s="6198" t="s">
        <v>16</v>
      </c>
      <c r="C426" s="6198" t="s">
        <v>2705</v>
      </c>
      <c r="D426" s="6198" t="s">
        <v>2706</v>
      </c>
      <c r="E426" s="6198" t="s">
        <v>2707</v>
      </c>
      <c r="F426" s="6198" t="s">
        <v>2524</v>
      </c>
      <c r="G426" s="6198" t="s">
        <v>28</v>
      </c>
      <c r="H426" s="6198" t="s">
        <v>28</v>
      </c>
      <c r="I426" s="6198" t="s">
        <v>980</v>
      </c>
    </row>
    <row customHeight="1" ht="11.25">
      <c r="A427" s="6198" t="s">
        <v>2323</v>
      </c>
      <c r="B427" s="6198" t="s">
        <v>16</v>
      </c>
      <c r="C427" s="6198" t="s">
        <v>2711</v>
      </c>
      <c r="D427" s="6198" t="s">
        <v>2712</v>
      </c>
      <c r="E427" s="6198" t="s">
        <v>2713</v>
      </c>
      <c r="F427" s="6198" t="s">
        <v>2454</v>
      </c>
      <c r="G427" s="6198" t="s">
        <v>28</v>
      </c>
      <c r="H427" s="6198" t="s">
        <v>28</v>
      </c>
      <c r="I427" s="6198" t="s">
        <v>980</v>
      </c>
    </row>
    <row customHeight="1" ht="11.25">
      <c r="A428" s="6198" t="s">
        <v>2323</v>
      </c>
      <c r="B428" s="6198" t="s">
        <v>16</v>
      </c>
      <c r="C428" s="6198" t="s">
        <v>3030</v>
      </c>
      <c r="D428" s="6198" t="s">
        <v>3031</v>
      </c>
      <c r="E428" s="6198" t="s">
        <v>3032</v>
      </c>
      <c r="F428" s="6198" t="s">
        <v>2843</v>
      </c>
      <c r="G428" s="6198" t="s">
        <v>28</v>
      </c>
      <c r="H428" s="6198" t="s">
        <v>28</v>
      </c>
      <c r="I428" s="6198" t="s">
        <v>980</v>
      </c>
    </row>
    <row customHeight="1" ht="11.25">
      <c r="A429" s="6198" t="s">
        <v>2323</v>
      </c>
      <c r="B429" s="6198" t="s">
        <v>16</v>
      </c>
      <c r="C429" s="6198" t="s">
        <v>3033</v>
      </c>
      <c r="D429" s="6198" t="s">
        <v>3034</v>
      </c>
      <c r="E429" s="6198" t="s">
        <v>3035</v>
      </c>
      <c r="F429" s="6198" t="s">
        <v>2843</v>
      </c>
      <c r="G429" s="6198" t="s">
        <v>28</v>
      </c>
      <c r="H429" s="6198" t="s">
        <v>28</v>
      </c>
      <c r="I429" s="6198" t="s">
        <v>980</v>
      </c>
    </row>
    <row customHeight="1" ht="11.25">
      <c r="A430" s="6198" t="s">
        <v>2323</v>
      </c>
      <c r="B430" s="6198" t="s">
        <v>16</v>
      </c>
      <c r="C430" s="6198" t="s">
        <v>3036</v>
      </c>
      <c r="D430" s="6198" t="s">
        <v>3037</v>
      </c>
      <c r="E430" s="6198" t="s">
        <v>3038</v>
      </c>
      <c r="F430" s="6198" t="s">
        <v>2351</v>
      </c>
      <c r="G430" s="6198" t="s">
        <v>28</v>
      </c>
      <c r="H430" s="6198" t="s">
        <v>28</v>
      </c>
      <c r="I430" s="6198" t="s">
        <v>980</v>
      </c>
    </row>
    <row customHeight="1" ht="11.25">
      <c r="A431" s="6198" t="s">
        <v>2323</v>
      </c>
      <c r="B431" s="6198" t="s">
        <v>16</v>
      </c>
      <c r="C431" s="6198" t="s">
        <v>2714</v>
      </c>
      <c r="D431" s="6198" t="s">
        <v>2715</v>
      </c>
      <c r="E431" s="6198" t="s">
        <v>2716</v>
      </c>
      <c r="F431" s="6198" t="s">
        <v>2334</v>
      </c>
      <c r="G431" s="6198" t="s">
        <v>28</v>
      </c>
      <c r="H431" s="6198" t="s">
        <v>28</v>
      </c>
      <c r="I431" s="6198" t="s">
        <v>980</v>
      </c>
    </row>
    <row customHeight="1" ht="11.25">
      <c r="A432" s="6198" t="s">
        <v>2323</v>
      </c>
      <c r="B432" s="6198" t="s">
        <v>16</v>
      </c>
      <c r="C432" s="6198" t="s">
        <v>2717</v>
      </c>
      <c r="D432" s="6198" t="s">
        <v>2718</v>
      </c>
      <c r="E432" s="6198" t="s">
        <v>2719</v>
      </c>
      <c r="F432" s="6198" t="s">
        <v>2720</v>
      </c>
      <c r="G432" s="6198" t="s">
        <v>28</v>
      </c>
      <c r="H432" s="6198" t="s">
        <v>28</v>
      </c>
      <c r="I432" s="6198" t="s">
        <v>980</v>
      </c>
    </row>
    <row customHeight="1" ht="11.25">
      <c r="A433" s="6198" t="s">
        <v>2323</v>
      </c>
      <c r="B433" s="6198" t="s">
        <v>16</v>
      </c>
      <c r="C433" s="6198" t="s">
        <v>3048</v>
      </c>
      <c r="D433" s="6198" t="s">
        <v>3049</v>
      </c>
      <c r="E433" s="6198" t="s">
        <v>3050</v>
      </c>
      <c r="F433" s="6198" t="s">
        <v>2902</v>
      </c>
      <c r="G433" s="6198" t="s">
        <v>3051</v>
      </c>
      <c r="H433" s="6198" t="s">
        <v>28</v>
      </c>
      <c r="I433" s="6198" t="s">
        <v>980</v>
      </c>
    </row>
    <row customHeight="1" ht="11.25">
      <c r="A434" s="6198" t="s">
        <v>2323</v>
      </c>
      <c r="B434" s="6198" t="s">
        <v>16</v>
      </c>
      <c r="C434" s="6198" t="s">
        <v>3052</v>
      </c>
      <c r="D434" s="6198" t="s">
        <v>3053</v>
      </c>
      <c r="E434" s="6198" t="s">
        <v>3054</v>
      </c>
      <c r="F434" s="6198" t="s">
        <v>2425</v>
      </c>
      <c r="G434" s="6198" t="s">
        <v>28</v>
      </c>
      <c r="H434" s="6198" t="s">
        <v>28</v>
      </c>
      <c r="I434" s="6198" t="s">
        <v>980</v>
      </c>
    </row>
    <row customHeight="1" ht="11.25">
      <c r="A435" s="6198" t="s">
        <v>2323</v>
      </c>
      <c r="B435" s="6198" t="s">
        <v>16</v>
      </c>
      <c r="C435" s="6198" t="s">
        <v>3055</v>
      </c>
      <c r="D435" s="6198" t="s">
        <v>3056</v>
      </c>
      <c r="E435" s="6198" t="s">
        <v>3057</v>
      </c>
      <c r="F435" s="6198" t="s">
        <v>2446</v>
      </c>
      <c r="G435" s="6198" t="s">
        <v>28</v>
      </c>
      <c r="H435" s="6198" t="s">
        <v>28</v>
      </c>
      <c r="I435" s="6198" t="s">
        <v>980</v>
      </c>
    </row>
    <row customHeight="1" ht="11.25">
      <c r="A436" s="6198" t="s">
        <v>2323</v>
      </c>
      <c r="B436" s="6198" t="s">
        <v>16</v>
      </c>
      <c r="C436" s="6198" t="s">
        <v>3064</v>
      </c>
      <c r="D436" s="6198" t="s">
        <v>3065</v>
      </c>
      <c r="E436" s="6198" t="s">
        <v>3066</v>
      </c>
      <c r="F436" s="6198" t="s">
        <v>2843</v>
      </c>
      <c r="G436" s="6198" t="s">
        <v>3067</v>
      </c>
      <c r="H436" s="6198" t="s">
        <v>28</v>
      </c>
      <c r="I436" s="6198" t="s">
        <v>980</v>
      </c>
    </row>
    <row customHeight="1" ht="11.25">
      <c r="A437" s="6198" t="s">
        <v>2323</v>
      </c>
      <c r="B437" s="6198" t="s">
        <v>16</v>
      </c>
      <c r="C437" s="6198" t="s">
        <v>3068</v>
      </c>
      <c r="D437" s="6198" t="s">
        <v>3069</v>
      </c>
      <c r="E437" s="6198" t="s">
        <v>3070</v>
      </c>
      <c r="F437" s="6198" t="s">
        <v>2380</v>
      </c>
      <c r="G437" s="6198" t="s">
        <v>28</v>
      </c>
      <c r="H437" s="6198" t="s">
        <v>28</v>
      </c>
      <c r="I437" s="6198" t="s">
        <v>980</v>
      </c>
    </row>
    <row customHeight="1" ht="11.25">
      <c r="A438" s="6198" t="s">
        <v>2323</v>
      </c>
      <c r="B438" s="6198" t="s">
        <v>16</v>
      </c>
      <c r="C438" s="6198" t="s">
        <v>2747</v>
      </c>
      <c r="D438" s="6198" t="s">
        <v>2748</v>
      </c>
      <c r="E438" s="6198" t="s">
        <v>2749</v>
      </c>
      <c r="F438" s="6198" t="s">
        <v>2351</v>
      </c>
      <c r="G438" s="6198" t="s">
        <v>28</v>
      </c>
      <c r="H438" s="6198" t="s">
        <v>28</v>
      </c>
      <c r="I438" s="6198" t="s">
        <v>980</v>
      </c>
    </row>
    <row customHeight="1" ht="11.25">
      <c r="A439" s="6198" t="s">
        <v>2323</v>
      </c>
      <c r="B439" s="6198" t="s">
        <v>16</v>
      </c>
      <c r="C439" s="6198" t="s">
        <v>28</v>
      </c>
      <c r="D439" s="6198" t="s">
        <v>2324</v>
      </c>
      <c r="E439" s="6198" t="s">
        <v>2325</v>
      </c>
      <c r="F439" s="6198" t="s">
        <v>2326</v>
      </c>
      <c r="G439" s="6198" t="s">
        <v>28</v>
      </c>
      <c r="H439" s="6198" t="s">
        <v>28</v>
      </c>
      <c r="I439" s="6198" t="s">
        <v>1693</v>
      </c>
    </row>
    <row customHeight="1" ht="11.25">
      <c r="A440" s="6198" t="s">
        <v>2323</v>
      </c>
      <c r="B440" s="6198" t="s">
        <v>16</v>
      </c>
      <c r="C440" s="6198" t="s">
        <v>3099</v>
      </c>
      <c r="D440" s="6198" t="s">
        <v>3100</v>
      </c>
      <c r="E440" s="6198" t="s">
        <v>3101</v>
      </c>
      <c r="F440" s="6198" t="s">
        <v>649</v>
      </c>
      <c r="G440" s="6198" t="s">
        <v>3102</v>
      </c>
      <c r="H440" s="6198" t="s">
        <v>28</v>
      </c>
      <c r="I440" s="6198" t="s">
        <v>1693</v>
      </c>
    </row>
    <row customHeight="1" ht="11.25">
      <c r="A441" s="6198" t="s">
        <v>2323</v>
      </c>
      <c r="B441" s="6198" t="s">
        <v>16</v>
      </c>
      <c r="C441" s="6198" t="s">
        <v>2461</v>
      </c>
      <c r="D441" s="6198" t="s">
        <v>2462</v>
      </c>
      <c r="E441" s="6198" t="s">
        <v>2463</v>
      </c>
      <c r="F441" s="6198" t="s">
        <v>2464</v>
      </c>
      <c r="G441" s="6198" t="s">
        <v>28</v>
      </c>
      <c r="H441" s="6198" t="s">
        <v>28</v>
      </c>
      <c r="I441" s="6198" t="s">
        <v>1693</v>
      </c>
    </row>
    <row customHeight="1" ht="11.25">
      <c r="A442" s="6198" t="s">
        <v>2323</v>
      </c>
      <c r="B442" s="6198" t="s">
        <v>16</v>
      </c>
      <c r="C442" s="6198" t="s">
        <v>2817</v>
      </c>
      <c r="D442" s="6198" t="s">
        <v>2818</v>
      </c>
      <c r="E442" s="6198" t="s">
        <v>2819</v>
      </c>
      <c r="F442" s="6198" t="s">
        <v>2555</v>
      </c>
      <c r="G442" s="6198" t="s">
        <v>28</v>
      </c>
      <c r="H442" s="6198" t="s">
        <v>28</v>
      </c>
      <c r="I442" s="6198" t="s">
        <v>1693</v>
      </c>
    </row>
    <row customHeight="1" ht="11.25">
      <c r="A443" s="6198" t="s">
        <v>2323</v>
      </c>
      <c r="B443" s="6198" t="s">
        <v>16</v>
      </c>
      <c r="C443" s="6198" t="s">
        <v>3103</v>
      </c>
      <c r="D443" s="6198" t="s">
        <v>3104</v>
      </c>
      <c r="E443" s="6198" t="s">
        <v>3105</v>
      </c>
      <c r="F443" s="6198" t="s">
        <v>2568</v>
      </c>
      <c r="G443" s="6198" t="s">
        <v>3106</v>
      </c>
      <c r="H443" s="6198" t="s">
        <v>28</v>
      </c>
      <c r="I443" s="6198" t="s">
        <v>1693</v>
      </c>
    </row>
    <row customHeight="1" ht="11.25">
      <c r="A444" s="6198" t="s">
        <v>2323</v>
      </c>
      <c r="B444" s="6198" t="s">
        <v>16</v>
      </c>
      <c r="C444" s="6198" t="s">
        <v>2476</v>
      </c>
      <c r="D444" s="6198" t="s">
        <v>2477</v>
      </c>
      <c r="E444" s="6198" t="s">
        <v>2478</v>
      </c>
      <c r="F444" s="6198" t="s">
        <v>2351</v>
      </c>
      <c r="G444" s="6198" t="s">
        <v>28</v>
      </c>
      <c r="H444" s="6198" t="s">
        <v>28</v>
      </c>
      <c r="I444" s="6198" t="s">
        <v>1693</v>
      </c>
    </row>
    <row customHeight="1" ht="11.25">
      <c r="A445" s="6198" t="s">
        <v>2323</v>
      </c>
      <c r="B445" s="6198" t="s">
        <v>16</v>
      </c>
      <c r="C445" s="6198" t="s">
        <v>3107</v>
      </c>
      <c r="D445" s="6198" t="s">
        <v>3108</v>
      </c>
      <c r="E445" s="6198" t="s">
        <v>3109</v>
      </c>
      <c r="F445" s="6198" t="s">
        <v>2446</v>
      </c>
      <c r="G445" s="6198" t="s">
        <v>28</v>
      </c>
      <c r="H445" s="6198" t="s">
        <v>28</v>
      </c>
      <c r="I445" s="6198" t="s">
        <v>1693</v>
      </c>
    </row>
    <row customHeight="1" ht="11.25">
      <c r="A446" s="6198" t="s">
        <v>2323</v>
      </c>
      <c r="B446" s="6198" t="s">
        <v>16</v>
      </c>
      <c r="C446" s="6198" t="s">
        <v>2483</v>
      </c>
      <c r="D446" s="6198" t="s">
        <v>2484</v>
      </c>
      <c r="E446" s="6198" t="s">
        <v>2485</v>
      </c>
      <c r="F446" s="6198" t="s">
        <v>2486</v>
      </c>
      <c r="G446" s="6198" t="s">
        <v>28</v>
      </c>
      <c r="H446" s="6198" t="s">
        <v>28</v>
      </c>
      <c r="I446" s="6198" t="s">
        <v>1693</v>
      </c>
    </row>
    <row customHeight="1" ht="11.25">
      <c r="A447" s="6198" t="s">
        <v>2323</v>
      </c>
      <c r="B447" s="6198" t="s">
        <v>16</v>
      </c>
      <c r="C447" s="6198" t="s">
        <v>2487</v>
      </c>
      <c r="D447" s="6198" t="s">
        <v>2488</v>
      </c>
      <c r="E447" s="6198" t="s">
        <v>2489</v>
      </c>
      <c r="F447" s="6198" t="s">
        <v>2486</v>
      </c>
      <c r="G447" s="6198" t="s">
        <v>28</v>
      </c>
      <c r="H447" s="6198" t="s">
        <v>28</v>
      </c>
      <c r="I447" s="6198" t="s">
        <v>1693</v>
      </c>
    </row>
    <row customHeight="1" ht="11.25">
      <c r="A448" s="6198" t="s">
        <v>2323</v>
      </c>
      <c r="B448" s="6198" t="s">
        <v>16</v>
      </c>
      <c r="C448" s="6198" t="s">
        <v>3110</v>
      </c>
      <c r="D448" s="6198" t="s">
        <v>3111</v>
      </c>
      <c r="E448" s="6198" t="s">
        <v>3112</v>
      </c>
      <c r="F448" s="6198" t="s">
        <v>2493</v>
      </c>
      <c r="G448" s="6198" t="s">
        <v>3113</v>
      </c>
      <c r="H448" s="6198" t="s">
        <v>28</v>
      </c>
      <c r="I448" s="6198" t="s">
        <v>1693</v>
      </c>
    </row>
    <row customHeight="1" ht="11.25">
      <c r="A449" s="6198" t="s">
        <v>2323</v>
      </c>
      <c r="B449" s="6198" t="s">
        <v>16</v>
      </c>
      <c r="C449" s="6198" t="s">
        <v>3114</v>
      </c>
      <c r="D449" s="6198" t="s">
        <v>3115</v>
      </c>
      <c r="E449" s="6198" t="s">
        <v>3116</v>
      </c>
      <c r="F449" s="6198" t="s">
        <v>2475</v>
      </c>
      <c r="G449" s="6198" t="s">
        <v>28</v>
      </c>
      <c r="H449" s="6198" t="s">
        <v>28</v>
      </c>
      <c r="I449" s="6198" t="s">
        <v>1693</v>
      </c>
    </row>
    <row customHeight="1" ht="11.25">
      <c r="A450" s="6198" t="s">
        <v>2323</v>
      </c>
      <c r="B450" s="6198" t="s">
        <v>16</v>
      </c>
      <c r="C450" s="6198" t="s">
        <v>3117</v>
      </c>
      <c r="D450" s="6198" t="s">
        <v>3118</v>
      </c>
      <c r="E450" s="6198" t="s">
        <v>3119</v>
      </c>
      <c r="F450" s="6198" t="s">
        <v>2359</v>
      </c>
      <c r="G450" s="6198" t="s">
        <v>28</v>
      </c>
      <c r="H450" s="6198" t="s">
        <v>28</v>
      </c>
      <c r="I450" s="6198" t="s">
        <v>1693</v>
      </c>
    </row>
    <row customHeight="1" ht="11.25">
      <c r="A451" s="6198" t="s">
        <v>2323</v>
      </c>
      <c r="B451" s="6198" t="s">
        <v>16</v>
      </c>
      <c r="C451" s="6198" t="s">
        <v>3120</v>
      </c>
      <c r="D451" s="6198" t="s">
        <v>3121</v>
      </c>
      <c r="E451" s="6198" t="s">
        <v>3122</v>
      </c>
      <c r="F451" s="6198" t="s">
        <v>2326</v>
      </c>
      <c r="G451" s="6198" t="s">
        <v>3123</v>
      </c>
      <c r="H451" s="6198" t="s">
        <v>28</v>
      </c>
      <c r="I451" s="6198" t="s">
        <v>1693</v>
      </c>
    </row>
    <row customHeight="1" ht="11.25">
      <c r="A452" s="6198" t="s">
        <v>2323</v>
      </c>
      <c r="B452" s="6198" t="s">
        <v>16</v>
      </c>
      <c r="C452" s="6198" t="s">
        <v>3124</v>
      </c>
      <c r="D452" s="6198" t="s">
        <v>3125</v>
      </c>
      <c r="E452" s="6198" t="s">
        <v>3126</v>
      </c>
      <c r="F452" s="6198" t="s">
        <v>2517</v>
      </c>
      <c r="G452" s="6198" t="s">
        <v>3127</v>
      </c>
      <c r="H452" s="6198" t="s">
        <v>28</v>
      </c>
      <c r="I452" s="6198" t="s">
        <v>1693</v>
      </c>
    </row>
    <row customHeight="1" ht="11.25">
      <c r="A453" s="6198" t="s">
        <v>2323</v>
      </c>
      <c r="B453" s="6198" t="s">
        <v>16</v>
      </c>
      <c r="C453" s="6198" t="s">
        <v>3128</v>
      </c>
      <c r="D453" s="6198" t="s">
        <v>3129</v>
      </c>
      <c r="E453" s="6198" t="s">
        <v>3130</v>
      </c>
      <c r="F453" s="6198" t="s">
        <v>2568</v>
      </c>
      <c r="G453" s="6198" t="s">
        <v>3131</v>
      </c>
      <c r="H453" s="6198" t="s">
        <v>28</v>
      </c>
      <c r="I453" s="6198" t="s">
        <v>1693</v>
      </c>
    </row>
    <row customHeight="1" ht="11.25">
      <c r="A454" s="6198" t="s">
        <v>2323</v>
      </c>
      <c r="B454" s="6198" t="s">
        <v>16</v>
      </c>
      <c r="C454" s="6198" t="s">
        <v>3132</v>
      </c>
      <c r="D454" s="6198" t="s">
        <v>3133</v>
      </c>
      <c r="E454" s="6198" t="s">
        <v>3134</v>
      </c>
      <c r="F454" s="6198" t="s">
        <v>2596</v>
      </c>
      <c r="G454" s="6198" t="s">
        <v>3135</v>
      </c>
      <c r="H454" s="6198" t="s">
        <v>28</v>
      </c>
      <c r="I454" s="6198" t="s">
        <v>1693</v>
      </c>
    </row>
    <row customHeight="1" ht="11.25">
      <c r="A455" s="6198" t="s">
        <v>2323</v>
      </c>
      <c r="B455" s="6198" t="s">
        <v>16</v>
      </c>
      <c r="C455" s="6198" t="s">
        <v>3136</v>
      </c>
      <c r="D455" s="6198" t="s">
        <v>3137</v>
      </c>
      <c r="E455" s="6198" t="s">
        <v>3138</v>
      </c>
      <c r="F455" s="6198" t="s">
        <v>2664</v>
      </c>
      <c r="G455" s="6198" t="s">
        <v>3139</v>
      </c>
      <c r="H455" s="6198" t="s">
        <v>28</v>
      </c>
      <c r="I455" s="6198" t="s">
        <v>1693</v>
      </c>
    </row>
    <row customHeight="1" ht="11.25">
      <c r="A456" s="6198" t="s">
        <v>2323</v>
      </c>
      <c r="B456" s="6198" t="s">
        <v>16</v>
      </c>
      <c r="C456" s="6198" t="s">
        <v>3140</v>
      </c>
      <c r="D456" s="6198" t="s">
        <v>3141</v>
      </c>
      <c r="E456" s="6198" t="s">
        <v>3142</v>
      </c>
      <c r="F456" s="6198" t="s">
        <v>2832</v>
      </c>
      <c r="G456" s="6198" t="s">
        <v>3143</v>
      </c>
      <c r="H456" s="6198" t="s">
        <v>28</v>
      </c>
      <c r="I456" s="6198" t="s">
        <v>1693</v>
      </c>
    </row>
    <row customHeight="1" ht="11.25">
      <c r="A457" s="6198" t="s">
        <v>2323</v>
      </c>
      <c r="B457" s="6198" t="s">
        <v>16</v>
      </c>
      <c r="C457" s="6198" t="s">
        <v>2933</v>
      </c>
      <c r="D457" s="6198" t="s">
        <v>2934</v>
      </c>
      <c r="E457" s="6198" t="s">
        <v>2935</v>
      </c>
      <c r="F457" s="6198" t="s">
        <v>2555</v>
      </c>
      <c r="G457" s="6198" t="s">
        <v>28</v>
      </c>
      <c r="H457" s="6198" t="s">
        <v>28</v>
      </c>
      <c r="I457" s="6198" t="s">
        <v>1693</v>
      </c>
    </row>
    <row customHeight="1" ht="11.25">
      <c r="A458" s="6198" t="s">
        <v>2323</v>
      </c>
      <c r="B458" s="6198" t="s">
        <v>16</v>
      </c>
      <c r="C458" s="6198" t="s">
        <v>3144</v>
      </c>
      <c r="D458" s="6198" t="s">
        <v>3145</v>
      </c>
      <c r="E458" s="6198" t="s">
        <v>3146</v>
      </c>
      <c r="F458" s="6198" t="s">
        <v>2746</v>
      </c>
      <c r="G458" s="6198" t="s">
        <v>3147</v>
      </c>
      <c r="H458" s="6198" t="s">
        <v>28</v>
      </c>
      <c r="I458" s="6198" t="s">
        <v>1693</v>
      </c>
    </row>
    <row customHeight="1" ht="11.25">
      <c r="A459" s="6198" t="s">
        <v>2323</v>
      </c>
      <c r="B459" s="6198" t="s">
        <v>16</v>
      </c>
      <c r="C459" s="6198" t="s">
        <v>3148</v>
      </c>
      <c r="D459" s="6198" t="s">
        <v>3149</v>
      </c>
      <c r="E459" s="6198" t="s">
        <v>3150</v>
      </c>
      <c r="F459" s="6198" t="s">
        <v>2380</v>
      </c>
      <c r="G459" s="6198" t="s">
        <v>28</v>
      </c>
      <c r="H459" s="6198" t="s">
        <v>28</v>
      </c>
      <c r="I459" s="6198" t="s">
        <v>1693</v>
      </c>
    </row>
    <row customHeight="1" ht="11.25">
      <c r="A460" s="6198" t="s">
        <v>2323</v>
      </c>
      <c r="B460" s="6198" t="s">
        <v>16</v>
      </c>
      <c r="C460" s="6198" t="s">
        <v>3151</v>
      </c>
      <c r="D460" s="6198" t="s">
        <v>3152</v>
      </c>
      <c r="E460" s="6198" t="s">
        <v>3153</v>
      </c>
      <c r="F460" s="6198" t="s">
        <v>2330</v>
      </c>
      <c r="G460" s="6198" t="s">
        <v>3154</v>
      </c>
      <c r="H460" s="6198" t="s">
        <v>28</v>
      </c>
      <c r="I460" s="6198" t="s">
        <v>1693</v>
      </c>
    </row>
    <row customHeight="1" ht="11.25">
      <c r="A461" s="6198" t="s">
        <v>2323</v>
      </c>
      <c r="B461" s="6198" t="s">
        <v>16</v>
      </c>
      <c r="C461" s="6198" t="s">
        <v>3155</v>
      </c>
      <c r="D461" s="6198" t="s">
        <v>3156</v>
      </c>
      <c r="E461" s="6198" t="s">
        <v>3157</v>
      </c>
      <c r="F461" s="6198" t="s">
        <v>2643</v>
      </c>
      <c r="G461" s="6198" t="s">
        <v>28</v>
      </c>
      <c r="H461" s="6198" t="s">
        <v>28</v>
      </c>
      <c r="I461" s="6198" t="s">
        <v>1693</v>
      </c>
    </row>
    <row customHeight="1" ht="11.25">
      <c r="A462" s="6198" t="s">
        <v>2323</v>
      </c>
      <c r="B462" s="6198" t="s">
        <v>16</v>
      </c>
      <c r="C462" s="6198" t="s">
        <v>3158</v>
      </c>
      <c r="D462" s="6198" t="s">
        <v>3159</v>
      </c>
      <c r="E462" s="6198" t="s">
        <v>3160</v>
      </c>
      <c r="F462" s="6198" t="s">
        <v>2475</v>
      </c>
      <c r="G462" s="6198" t="s">
        <v>3161</v>
      </c>
      <c r="H462" s="6198" t="s">
        <v>28</v>
      </c>
      <c r="I462" s="6198" t="s">
        <v>1693</v>
      </c>
    </row>
    <row customHeight="1" ht="11.25">
      <c r="A463" s="6198" t="s">
        <v>2323</v>
      </c>
      <c r="B463" s="6198" t="s">
        <v>16</v>
      </c>
      <c r="C463" s="6198" t="s">
        <v>3162</v>
      </c>
      <c r="D463" s="6198" t="s">
        <v>3163</v>
      </c>
      <c r="E463" s="6198" t="s">
        <v>3164</v>
      </c>
      <c r="F463" s="6198" t="s">
        <v>2585</v>
      </c>
      <c r="G463" s="6198" t="s">
        <v>28</v>
      </c>
      <c r="H463" s="6198" t="s">
        <v>28</v>
      </c>
      <c r="I463" s="6198" t="s">
        <v>1693</v>
      </c>
    </row>
    <row customHeight="1" ht="11.25">
      <c r="A464" s="6198" t="s">
        <v>2323</v>
      </c>
      <c r="B464" s="6198" t="s">
        <v>16</v>
      </c>
      <c r="C464" s="6198" t="s">
        <v>3165</v>
      </c>
      <c r="D464" s="6198" t="s">
        <v>3166</v>
      </c>
      <c r="E464" s="6198" t="s">
        <v>3167</v>
      </c>
      <c r="F464" s="6198" t="s">
        <v>2330</v>
      </c>
      <c r="G464" s="6198" t="s">
        <v>3168</v>
      </c>
      <c r="H464" s="6198" t="s">
        <v>28</v>
      </c>
      <c r="I464" s="6198" t="s">
        <v>1693</v>
      </c>
    </row>
    <row customHeight="1" ht="11.25">
      <c r="A465" s="6198" t="s">
        <v>2323</v>
      </c>
      <c r="B465" s="6198" t="s">
        <v>16</v>
      </c>
      <c r="C465" s="6198" t="s">
        <v>3169</v>
      </c>
      <c r="D465" s="6198" t="s">
        <v>3170</v>
      </c>
      <c r="E465" s="6198" t="s">
        <v>3171</v>
      </c>
      <c r="F465" s="6198" t="s">
        <v>2326</v>
      </c>
      <c r="G465" s="6198" t="s">
        <v>3172</v>
      </c>
      <c r="H465" s="6198" t="s">
        <v>28</v>
      </c>
      <c r="I465" s="6198" t="s">
        <v>1693</v>
      </c>
    </row>
    <row customHeight="1" ht="11.25">
      <c r="A466" s="6198" t="s">
        <v>2323</v>
      </c>
      <c r="B466" s="6198" t="s">
        <v>16</v>
      </c>
      <c r="C466" s="6198" t="s">
        <v>3173</v>
      </c>
      <c r="D466" s="6198" t="s">
        <v>3174</v>
      </c>
      <c r="E466" s="6198" t="s">
        <v>3175</v>
      </c>
      <c r="F466" s="6198" t="s">
        <v>2425</v>
      </c>
      <c r="G466" s="6198" t="s">
        <v>28</v>
      </c>
      <c r="H466" s="6198" t="s">
        <v>28</v>
      </c>
      <c r="I466" s="6198" t="s">
        <v>1693</v>
      </c>
    </row>
    <row customHeight="1" ht="11.25">
      <c r="A467" s="6198" t="s">
        <v>2323</v>
      </c>
      <c r="B467" s="6198" t="s">
        <v>16</v>
      </c>
      <c r="C467" s="6198" t="s">
        <v>3176</v>
      </c>
      <c r="D467" s="6198" t="s">
        <v>3177</v>
      </c>
      <c r="E467" s="6198" t="s">
        <v>3178</v>
      </c>
      <c r="F467" s="6198" t="s">
        <v>2351</v>
      </c>
      <c r="G467" s="6198" t="s">
        <v>3179</v>
      </c>
      <c r="H467" s="6198" t="s">
        <v>28</v>
      </c>
      <c r="I467" s="6198" t="s">
        <v>1693</v>
      </c>
    </row>
    <row customHeight="1" ht="11.25">
      <c r="A468" s="6198" t="s">
        <v>2323</v>
      </c>
      <c r="B468" s="6198" t="s">
        <v>16</v>
      </c>
      <c r="C468" s="6198" t="s">
        <v>2978</v>
      </c>
      <c r="D468" s="6198" t="s">
        <v>2979</v>
      </c>
      <c r="E468" s="6198" t="s">
        <v>2980</v>
      </c>
      <c r="F468" s="6198" t="s">
        <v>2503</v>
      </c>
      <c r="G468" s="6198" t="s">
        <v>28</v>
      </c>
      <c r="H468" s="6198" t="s">
        <v>28</v>
      </c>
      <c r="I468" s="6198" t="s">
        <v>1693</v>
      </c>
    </row>
    <row customHeight="1" ht="11.25">
      <c r="A469" s="6198" t="s">
        <v>2323</v>
      </c>
      <c r="B469" s="6198" t="s">
        <v>16</v>
      </c>
      <c r="C469" s="6198" t="s">
        <v>3180</v>
      </c>
      <c r="D469" s="6198" t="s">
        <v>3181</v>
      </c>
      <c r="E469" s="6198" t="s">
        <v>3182</v>
      </c>
      <c r="F469" s="6198" t="s">
        <v>2326</v>
      </c>
      <c r="G469" s="6198" t="s">
        <v>3183</v>
      </c>
      <c r="H469" s="6198" t="s">
        <v>28</v>
      </c>
      <c r="I469" s="6198" t="s">
        <v>1693</v>
      </c>
    </row>
    <row customHeight="1" ht="11.25">
      <c r="A470" s="6198" t="s">
        <v>2323</v>
      </c>
      <c r="B470" s="6198" t="s">
        <v>16</v>
      </c>
      <c r="C470" s="6198" t="s">
        <v>3184</v>
      </c>
      <c r="D470" s="6198" t="s">
        <v>3185</v>
      </c>
      <c r="E470" s="6198" t="s">
        <v>3186</v>
      </c>
      <c r="F470" s="6198" t="s">
        <v>2524</v>
      </c>
      <c r="G470" s="6198" t="s">
        <v>3187</v>
      </c>
      <c r="H470" s="6198" t="s">
        <v>28</v>
      </c>
      <c r="I470" s="6198" t="s">
        <v>1693</v>
      </c>
    </row>
    <row customHeight="1" ht="11.25">
      <c r="A471" s="6198" t="s">
        <v>2323</v>
      </c>
      <c r="B471" s="6198" t="s">
        <v>16</v>
      </c>
      <c r="C471" s="6198" t="s">
        <v>3188</v>
      </c>
      <c r="D471" s="6198" t="s">
        <v>3189</v>
      </c>
      <c r="E471" s="6198" t="s">
        <v>3190</v>
      </c>
      <c r="F471" s="6198" t="s">
        <v>2568</v>
      </c>
      <c r="G471" s="6198" t="s">
        <v>3191</v>
      </c>
      <c r="H471" s="6198" t="s">
        <v>28</v>
      </c>
      <c r="I471" s="6198" t="s">
        <v>1693</v>
      </c>
    </row>
    <row customHeight="1" ht="11.25">
      <c r="A472" s="6198" t="s">
        <v>2323</v>
      </c>
      <c r="B472" s="6198" t="s">
        <v>16</v>
      </c>
      <c r="C472" s="6198" t="s">
        <v>3192</v>
      </c>
      <c r="D472" s="6198" t="s">
        <v>3193</v>
      </c>
      <c r="E472" s="6198" t="s">
        <v>3194</v>
      </c>
      <c r="F472" s="6198" t="s">
        <v>2596</v>
      </c>
      <c r="G472" s="6198" t="s">
        <v>3195</v>
      </c>
      <c r="H472" s="6198" t="s">
        <v>28</v>
      </c>
      <c r="I472" s="6198" t="s">
        <v>1693</v>
      </c>
    </row>
    <row customHeight="1" ht="11.25">
      <c r="A473" s="6198" t="s">
        <v>2323</v>
      </c>
      <c r="B473" s="6198" t="s">
        <v>16</v>
      </c>
      <c r="C473" s="6198" t="s">
        <v>3196</v>
      </c>
      <c r="D473" s="6198" t="s">
        <v>3197</v>
      </c>
      <c r="E473" s="6198" t="s">
        <v>3198</v>
      </c>
      <c r="F473" s="6198" t="s">
        <v>2454</v>
      </c>
      <c r="G473" s="6198" t="s">
        <v>3199</v>
      </c>
      <c r="H473" s="6198" t="s">
        <v>28</v>
      </c>
      <c r="I473" s="6198" t="s">
        <v>1693</v>
      </c>
    </row>
    <row customHeight="1" ht="11.25">
      <c r="A474" s="6198" t="s">
        <v>2323</v>
      </c>
      <c r="B474" s="6198" t="s">
        <v>16</v>
      </c>
      <c r="C474" s="6198" t="s">
        <v>3200</v>
      </c>
      <c r="D474" s="6198" t="s">
        <v>3201</v>
      </c>
      <c r="E474" s="6198" t="s">
        <v>3202</v>
      </c>
      <c r="F474" s="6198" t="s">
        <v>2517</v>
      </c>
      <c r="G474" s="6198" t="s">
        <v>3203</v>
      </c>
      <c r="H474" s="6198" t="s">
        <v>28</v>
      </c>
      <c r="I474" s="6198" t="s">
        <v>1693</v>
      </c>
    </row>
    <row customHeight="1" ht="11.25">
      <c r="A475" s="6198" t="s">
        <v>2323</v>
      </c>
      <c r="B475" s="6198" t="s">
        <v>16</v>
      </c>
      <c r="C475" s="6198" t="s">
        <v>3204</v>
      </c>
      <c r="D475" s="6198" t="s">
        <v>3205</v>
      </c>
      <c r="E475" s="6198" t="s">
        <v>3206</v>
      </c>
      <c r="F475" s="6198" t="s">
        <v>2371</v>
      </c>
      <c r="G475" s="6198" t="s">
        <v>3207</v>
      </c>
      <c r="H475" s="6198" t="s">
        <v>28</v>
      </c>
      <c r="I475" s="6198" t="s">
        <v>1693</v>
      </c>
    </row>
    <row customHeight="1" ht="11.25">
      <c r="A476" s="6198" t="s">
        <v>2323</v>
      </c>
      <c r="B476" s="6198" t="s">
        <v>16</v>
      </c>
      <c r="C476" s="6198" t="s">
        <v>3208</v>
      </c>
      <c r="D476" s="6198" t="s">
        <v>3209</v>
      </c>
      <c r="E476" s="6198" t="s">
        <v>3210</v>
      </c>
      <c r="F476" s="6198" t="s">
        <v>2596</v>
      </c>
      <c r="G476" s="6198" t="s">
        <v>28</v>
      </c>
      <c r="H476" s="6198" t="s">
        <v>28</v>
      </c>
      <c r="I476" s="6198" t="s">
        <v>1693</v>
      </c>
    </row>
    <row customHeight="1" ht="11.25">
      <c r="A477" s="6198" t="s">
        <v>2323</v>
      </c>
      <c r="B477" s="6198" t="s">
        <v>16</v>
      </c>
      <c r="C477" s="6198" t="s">
        <v>3211</v>
      </c>
      <c r="D477" s="6198" t="s">
        <v>3212</v>
      </c>
      <c r="E477" s="6198" t="s">
        <v>3213</v>
      </c>
      <c r="F477" s="6198" t="s">
        <v>2517</v>
      </c>
      <c r="G477" s="6198" t="s">
        <v>3214</v>
      </c>
      <c r="H477" s="6198" t="s">
        <v>28</v>
      </c>
      <c r="I477" s="6198" t="s">
        <v>1693</v>
      </c>
    </row>
    <row customHeight="1" ht="11.25">
      <c r="A478" s="6198" t="s">
        <v>2323</v>
      </c>
      <c r="B478" s="6198" t="s">
        <v>16</v>
      </c>
      <c r="C478" s="6198" t="s">
        <v>3215</v>
      </c>
      <c r="D478" s="6198" t="s">
        <v>3216</v>
      </c>
      <c r="E478" s="6198" t="s">
        <v>3217</v>
      </c>
      <c r="F478" s="6198" t="s">
        <v>2359</v>
      </c>
      <c r="G478" s="6198" t="s">
        <v>3218</v>
      </c>
      <c r="H478" s="6198" t="s">
        <v>28</v>
      </c>
      <c r="I478" s="6198" t="s">
        <v>1693</v>
      </c>
    </row>
    <row customHeight="1" ht="11.25">
      <c r="A479" s="6198" t="s">
        <v>2323</v>
      </c>
      <c r="B479" s="6198" t="s">
        <v>16</v>
      </c>
      <c r="C479" s="6198" t="s">
        <v>3219</v>
      </c>
      <c r="D479" s="6198" t="s">
        <v>3220</v>
      </c>
      <c r="E479" s="6198" t="s">
        <v>3221</v>
      </c>
      <c r="F479" s="6198" t="s">
        <v>2330</v>
      </c>
      <c r="G479" s="6198" t="s">
        <v>3222</v>
      </c>
      <c r="H479" s="6198" t="s">
        <v>28</v>
      </c>
      <c r="I479" s="6198" t="s">
        <v>1693</v>
      </c>
    </row>
    <row customHeight="1" ht="11.25">
      <c r="A480" s="6198" t="s">
        <v>2323</v>
      </c>
      <c r="B480" s="6198" t="s">
        <v>16</v>
      </c>
      <c r="C480" s="6198" t="s">
        <v>3223</v>
      </c>
      <c r="D480" s="6198" t="s">
        <v>3224</v>
      </c>
      <c r="E480" s="6198" t="s">
        <v>3225</v>
      </c>
      <c r="F480" s="6198" t="s">
        <v>2330</v>
      </c>
      <c r="G480" s="6198" t="s">
        <v>3226</v>
      </c>
      <c r="H480" s="6198" t="s">
        <v>28</v>
      </c>
      <c r="I480" s="6198" t="s">
        <v>1693</v>
      </c>
    </row>
    <row customHeight="1" ht="11.25">
      <c r="A481" s="6198" t="s">
        <v>2323</v>
      </c>
      <c r="B481" s="6198" t="s">
        <v>16</v>
      </c>
      <c r="C481" s="6198" t="s">
        <v>3227</v>
      </c>
      <c r="D481" s="6198" t="s">
        <v>3228</v>
      </c>
      <c r="E481" s="6198" t="s">
        <v>3229</v>
      </c>
      <c r="F481" s="6198" t="s">
        <v>2446</v>
      </c>
      <c r="G481" s="6198" t="s">
        <v>3230</v>
      </c>
      <c r="H481" s="6198" t="s">
        <v>28</v>
      </c>
      <c r="I481" s="6198" t="s">
        <v>1693</v>
      </c>
    </row>
    <row customHeight="1" ht="11.25">
      <c r="A482" s="6198" t="s">
        <v>2323</v>
      </c>
      <c r="B482" s="6198" t="s">
        <v>16</v>
      </c>
      <c r="C482" s="6198" t="s">
        <v>3231</v>
      </c>
      <c r="D482" s="6198" t="s">
        <v>3232</v>
      </c>
      <c r="E482" s="6198" t="s">
        <v>3233</v>
      </c>
      <c r="F482" s="6198" t="s">
        <v>3026</v>
      </c>
      <c r="G482" s="6198" t="s">
        <v>3234</v>
      </c>
      <c r="H482" s="6198" t="s">
        <v>28</v>
      </c>
      <c r="I482" s="6198" t="s">
        <v>1693</v>
      </c>
    </row>
    <row customHeight="1" ht="11.25">
      <c r="A483" s="6198" t="s">
        <v>2323</v>
      </c>
      <c r="B483" s="6198" t="s">
        <v>16</v>
      </c>
      <c r="C483" s="6198" t="s">
        <v>3235</v>
      </c>
      <c r="D483" s="6198" t="s">
        <v>3236</v>
      </c>
      <c r="E483" s="6198" t="s">
        <v>3237</v>
      </c>
      <c r="F483" s="6198" t="s">
        <v>2380</v>
      </c>
      <c r="G483" s="6198" t="s">
        <v>28</v>
      </c>
      <c r="H483" s="6198" t="s">
        <v>28</v>
      </c>
      <c r="I483" s="6198" t="s">
        <v>1693</v>
      </c>
    </row>
    <row customHeight="1" ht="11.25">
      <c r="A484" s="6198" t="s">
        <v>2323</v>
      </c>
      <c r="B484" s="6198" t="s">
        <v>16</v>
      </c>
      <c r="C484" s="6198" t="s">
        <v>3238</v>
      </c>
      <c r="D484" s="6198" t="s">
        <v>3239</v>
      </c>
      <c r="E484" s="6198" t="s">
        <v>3240</v>
      </c>
      <c r="F484" s="6198" t="s">
        <v>2493</v>
      </c>
      <c r="G484" s="6198" t="s">
        <v>28</v>
      </c>
      <c r="H484" s="6198" t="s">
        <v>28</v>
      </c>
      <c r="I484" s="6198" t="s">
        <v>1693</v>
      </c>
    </row>
    <row customHeight="1" ht="11.25">
      <c r="A485" s="6198" t="s">
        <v>2323</v>
      </c>
      <c r="B485" s="6198" t="s">
        <v>16</v>
      </c>
      <c r="C485" s="6198" t="s">
        <v>3241</v>
      </c>
      <c r="D485" s="6198" t="s">
        <v>3242</v>
      </c>
      <c r="E485" s="6198" t="s">
        <v>3243</v>
      </c>
      <c r="F485" s="6198" t="s">
        <v>2330</v>
      </c>
      <c r="G485" s="6198" t="s">
        <v>28</v>
      </c>
      <c r="H485" s="6198" t="s">
        <v>28</v>
      </c>
      <c r="I485" s="6198" t="s">
        <v>1693</v>
      </c>
    </row>
    <row customHeight="1" ht="11.25">
      <c r="A486" s="6198" t="s">
        <v>2323</v>
      </c>
      <c r="B486" s="6198" t="s">
        <v>16</v>
      </c>
      <c r="C486" s="6198" t="s">
        <v>3244</v>
      </c>
      <c r="D486" s="6198" t="s">
        <v>3245</v>
      </c>
      <c r="E486" s="6198" t="s">
        <v>3246</v>
      </c>
      <c r="F486" s="6198" t="s">
        <v>2720</v>
      </c>
      <c r="G486" s="6198" t="s">
        <v>28</v>
      </c>
      <c r="H486" s="6198" t="s">
        <v>28</v>
      </c>
      <c r="I486" s="6198" t="s">
        <v>1693</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8C4C08-51EA-7ED2-7751-E574E8835ABC}" mc:Ignorable="x14ac xr xr2 xr3">
  <sheetPr>
    <tabColor rgb="FFFFCC99"/>
  </sheetPr>
  <dimension ref="A1:G107"/>
  <sheetViews>
    <sheetView topLeftCell="A1" showGridLines="0" workbookViewId="0">
      <selection activeCell="A1" sqref="A1"/>
    </sheetView>
  </sheetViews>
  <sheetFormatPr customHeight="1" defaultRowHeight="11.25"/>
  <cols>
    <col min="1" max="1" style="63225" width="9.140625"/>
  </cols>
  <sheetData>
    <row customHeight="1" ht="11.25">
      <c r="A1" s="1065" t="s">
        <v>3247</v>
      </c>
      <c r="B1" s="754" t="s">
        <v>3248</v>
      </c>
      <c r="C1" s="754" t="s">
        <v>3249</v>
      </c>
      <c r="D1" s="754" t="s">
        <v>3250</v>
      </c>
      <c r="E1" s="641" t="s">
        <v>3251</v>
      </c>
      <c r="F1" s="641" t="s">
        <v>3252</v>
      </c>
      <c r="G1" s="641" t="s">
        <v>3253</v>
      </c>
    </row>
    <row customHeight="1" ht="11.25">
      <c r="A2" s="1065" t="s">
        <v>16</v>
      </c>
      <c r="B2" s="0" t="s">
        <v>3254</v>
      </c>
      <c r="C2" s="0" t="s">
        <v>3255</v>
      </c>
      <c r="D2" s="0" t="s">
        <v>3254</v>
      </c>
      <c r="E2" s="0" t="s">
        <v>3255</v>
      </c>
      <c r="F2" s="0" t="s">
        <v>3256</v>
      </c>
      <c r="G2" s="0" t="s">
        <v>118</v>
      </c>
    </row>
    <row customHeight="1" ht="11.25">
      <c r="A3" s="1065" t="s">
        <v>16</v>
      </c>
      <c r="B3" s="0" t="s">
        <v>3257</v>
      </c>
      <c r="C3" s="0" t="s">
        <v>3258</v>
      </c>
      <c r="D3" s="0" t="s">
        <v>3257</v>
      </c>
      <c r="E3" s="0" t="s">
        <v>3258</v>
      </c>
      <c r="F3" s="0" t="s">
        <v>3259</v>
      </c>
      <c r="G3" s="0" t="s">
        <v>103</v>
      </c>
    </row>
    <row customHeight="1" ht="11.25">
      <c r="A4" s="1065" t="s">
        <v>16</v>
      </c>
      <c r="B4" s="0" t="s">
        <v>100</v>
      </c>
      <c r="C4" s="0" t="s">
        <v>101</v>
      </c>
      <c r="D4" s="0" t="s">
        <v>100</v>
      </c>
      <c r="E4" s="0" t="s">
        <v>101</v>
      </c>
      <c r="F4" s="0" t="s">
        <v>3259</v>
      </c>
      <c r="G4" s="0" t="s">
        <v>91</v>
      </c>
    </row>
    <row customHeight="1" ht="11.25">
      <c r="A5" s="1065" t="s">
        <v>16</v>
      </c>
      <c r="B5" s="0" t="s">
        <v>106</v>
      </c>
      <c r="C5" s="0" t="s">
        <v>107</v>
      </c>
      <c r="D5" s="0" t="s">
        <v>106</v>
      </c>
      <c r="E5" s="0" t="s">
        <v>107</v>
      </c>
      <c r="F5" s="0" t="s">
        <v>3259</v>
      </c>
      <c r="G5" s="0" t="s">
        <v>92</v>
      </c>
    </row>
    <row customHeight="1" ht="11.25">
      <c r="A6" s="1065" t="s">
        <v>16</v>
      </c>
      <c r="B6" s="0" t="s">
        <v>3260</v>
      </c>
      <c r="C6" s="0" t="s">
        <v>3261</v>
      </c>
      <c r="D6" s="0" t="s">
        <v>3260</v>
      </c>
      <c r="E6" s="0" t="s">
        <v>3261</v>
      </c>
      <c r="F6" s="0" t="s">
        <v>3259</v>
      </c>
      <c r="G6" s="0" t="s">
        <v>119</v>
      </c>
    </row>
    <row customHeight="1" ht="11.25">
      <c r="A7" s="1065" t="s">
        <v>16</v>
      </c>
      <c r="B7" s="0" t="s">
        <v>3262</v>
      </c>
      <c r="C7" s="0" t="s">
        <v>3263</v>
      </c>
      <c r="D7" s="0" t="s">
        <v>3262</v>
      </c>
      <c r="E7" s="0" t="s">
        <v>3263</v>
      </c>
      <c r="F7" s="0" t="s">
        <v>3259</v>
      </c>
      <c r="G7" s="0" t="s">
        <v>93</v>
      </c>
    </row>
    <row customHeight="1" ht="11.25">
      <c r="A8" s="1065" t="s">
        <v>16</v>
      </c>
      <c r="B8" s="0" t="s">
        <v>3264</v>
      </c>
      <c r="C8" s="0" t="s">
        <v>3265</v>
      </c>
      <c r="D8" s="0" t="s">
        <v>3264</v>
      </c>
      <c r="E8" s="0" t="s">
        <v>3265</v>
      </c>
      <c r="F8" s="0" t="s">
        <v>3259</v>
      </c>
      <c r="G8" s="0" t="s">
        <v>94</v>
      </c>
    </row>
    <row customHeight="1" ht="11.25">
      <c r="A9" s="1065" t="s">
        <v>16</v>
      </c>
      <c r="B9" s="0" t="s">
        <v>3266</v>
      </c>
      <c r="C9" s="0" t="s">
        <v>3267</v>
      </c>
      <c r="D9" s="0" t="s">
        <v>3268</v>
      </c>
      <c r="E9" s="0" t="s">
        <v>3269</v>
      </c>
      <c r="F9" s="0" t="s">
        <v>3270</v>
      </c>
      <c r="G9" s="0" t="s">
        <v>120</v>
      </c>
    </row>
    <row customHeight="1" ht="11.25">
      <c r="A10" s="1065" t="s">
        <v>16</v>
      </c>
      <c r="B10" s="0" t="s">
        <v>3266</v>
      </c>
      <c r="C10" s="0" t="s">
        <v>3267</v>
      </c>
      <c r="D10" s="0" t="s">
        <v>3266</v>
      </c>
      <c r="E10" s="0" t="s">
        <v>3267</v>
      </c>
      <c r="F10" s="0" t="s">
        <v>3271</v>
      </c>
      <c r="G10" s="0" t="s">
        <v>156</v>
      </c>
    </row>
    <row customHeight="1" ht="11.25">
      <c r="A11" s="1065" t="s">
        <v>16</v>
      </c>
      <c r="B11" s="0" t="s">
        <v>3266</v>
      </c>
      <c r="C11" s="0" t="s">
        <v>3267</v>
      </c>
      <c r="D11" s="0" t="s">
        <v>3272</v>
      </c>
      <c r="E11" s="0" t="s">
        <v>3273</v>
      </c>
      <c r="F11" s="0" t="s">
        <v>3270</v>
      </c>
      <c r="G11" s="0" t="s">
        <v>157</v>
      </c>
    </row>
    <row customHeight="1" ht="11.25">
      <c r="A12" s="1065" t="s">
        <v>16</v>
      </c>
      <c r="B12" s="0" t="s">
        <v>3266</v>
      </c>
      <c r="C12" s="0" t="s">
        <v>3267</v>
      </c>
      <c r="D12" s="0" t="s">
        <v>3274</v>
      </c>
      <c r="E12" s="0" t="s">
        <v>3275</v>
      </c>
      <c r="F12" s="0" t="s">
        <v>3276</v>
      </c>
      <c r="G12" s="0" t="s">
        <v>158</v>
      </c>
    </row>
    <row customHeight="1" ht="11.25">
      <c r="A13" s="1065" t="s">
        <v>16</v>
      </c>
      <c r="B13" s="0" t="s">
        <v>3266</v>
      </c>
      <c r="C13" s="0" t="s">
        <v>3267</v>
      </c>
      <c r="D13" s="0" t="s">
        <v>3277</v>
      </c>
      <c r="E13" s="0" t="s">
        <v>3278</v>
      </c>
      <c r="F13" s="0" t="s">
        <v>3270</v>
      </c>
      <c r="G13" s="0" t="s">
        <v>159</v>
      </c>
    </row>
    <row customHeight="1" ht="11.25">
      <c r="A14" s="1065" t="s">
        <v>16</v>
      </c>
      <c r="B14" s="0" t="s">
        <v>3266</v>
      </c>
      <c r="C14" s="0" t="s">
        <v>3267</v>
      </c>
      <c r="D14" s="0" t="s">
        <v>3279</v>
      </c>
      <c r="E14" s="0" t="s">
        <v>3280</v>
      </c>
      <c r="F14" s="0" t="s">
        <v>3270</v>
      </c>
      <c r="G14" s="0" t="s">
        <v>160</v>
      </c>
    </row>
    <row customHeight="1" ht="11.25">
      <c r="A15" s="1065" t="s">
        <v>16</v>
      </c>
      <c r="B15" s="0" t="s">
        <v>3266</v>
      </c>
      <c r="C15" s="0" t="s">
        <v>3267</v>
      </c>
      <c r="D15" s="0" t="s">
        <v>3281</v>
      </c>
      <c r="E15" s="0" t="s">
        <v>3282</v>
      </c>
      <c r="F15" s="0" t="s">
        <v>3270</v>
      </c>
      <c r="G15" s="0" t="s">
        <v>161</v>
      </c>
    </row>
    <row customHeight="1" ht="11.25">
      <c r="A16" s="1065" t="s">
        <v>16</v>
      </c>
      <c r="B16" s="0" t="s">
        <v>3266</v>
      </c>
      <c r="C16" s="0" t="s">
        <v>3267</v>
      </c>
      <c r="D16" s="0" t="s">
        <v>3283</v>
      </c>
      <c r="E16" s="0" t="s">
        <v>3284</v>
      </c>
      <c r="F16" s="0" t="s">
        <v>3270</v>
      </c>
      <c r="G16" s="0" t="s">
        <v>1536</v>
      </c>
    </row>
    <row customHeight="1" ht="11.25">
      <c r="A17" s="1065" t="s">
        <v>16</v>
      </c>
      <c r="B17" s="0" t="s">
        <v>3285</v>
      </c>
      <c r="C17" s="0" t="s">
        <v>3286</v>
      </c>
      <c r="D17" s="0" t="s">
        <v>3285</v>
      </c>
      <c r="E17" s="0" t="s">
        <v>3286</v>
      </c>
      <c r="F17" s="0" t="s">
        <v>3256</v>
      </c>
      <c r="G17" s="0" t="s">
        <v>1542</v>
      </c>
    </row>
    <row customHeight="1" ht="11.25">
      <c r="A18" s="1065" t="s">
        <v>16</v>
      </c>
      <c r="B18" s="0" t="s">
        <v>3287</v>
      </c>
      <c r="C18" s="0" t="s">
        <v>3288</v>
      </c>
      <c r="D18" s="0" t="s">
        <v>3289</v>
      </c>
      <c r="E18" s="0" t="s">
        <v>3290</v>
      </c>
      <c r="F18" s="0" t="s">
        <v>3270</v>
      </c>
      <c r="G18" s="0" t="s">
        <v>1554</v>
      </c>
    </row>
    <row customHeight="1" ht="11.25">
      <c r="A19" s="1065" t="s">
        <v>16</v>
      </c>
      <c r="B19" s="0" t="s">
        <v>3287</v>
      </c>
      <c r="C19" s="0" t="s">
        <v>3288</v>
      </c>
      <c r="D19" s="0" t="s">
        <v>3291</v>
      </c>
      <c r="E19" s="0" t="s">
        <v>3292</v>
      </c>
      <c r="F19" s="0" t="s">
        <v>3293</v>
      </c>
      <c r="G19" s="0" t="s">
        <v>1568</v>
      </c>
    </row>
    <row customHeight="1" ht="11.25">
      <c r="A20" s="1065" t="s">
        <v>16</v>
      </c>
      <c r="B20" s="0" t="s">
        <v>3287</v>
      </c>
      <c r="C20" s="0" t="s">
        <v>3288</v>
      </c>
      <c r="D20" s="0" t="s">
        <v>3287</v>
      </c>
      <c r="E20" s="0" t="s">
        <v>3288</v>
      </c>
      <c r="F20" s="0" t="s">
        <v>3271</v>
      </c>
      <c r="G20" s="0" t="s">
        <v>1580</v>
      </c>
    </row>
    <row customHeight="1" ht="11.25">
      <c r="A21" s="1065" t="s">
        <v>16</v>
      </c>
      <c r="B21" s="0" t="s">
        <v>3287</v>
      </c>
      <c r="C21" s="0" t="s">
        <v>3288</v>
      </c>
      <c r="D21" s="0" t="s">
        <v>3294</v>
      </c>
      <c r="E21" s="0" t="s">
        <v>3295</v>
      </c>
      <c r="F21" s="0" t="s">
        <v>3293</v>
      </c>
      <c r="G21" s="0" t="s">
        <v>1589</v>
      </c>
    </row>
    <row customHeight="1" ht="11.25">
      <c r="A22" s="1065" t="s">
        <v>16</v>
      </c>
      <c r="B22" s="0" t="s">
        <v>3287</v>
      </c>
      <c r="C22" s="0" t="s">
        <v>3288</v>
      </c>
      <c r="D22" s="0" t="s">
        <v>3296</v>
      </c>
      <c r="E22" s="0" t="s">
        <v>3297</v>
      </c>
      <c r="F22" s="0" t="s">
        <v>3270</v>
      </c>
      <c r="G22" s="0" t="s">
        <v>1605</v>
      </c>
    </row>
    <row customHeight="1" ht="11.25">
      <c r="A23" s="1065" t="s">
        <v>16</v>
      </c>
      <c r="B23" s="0" t="s">
        <v>3287</v>
      </c>
      <c r="C23" s="0" t="s">
        <v>3288</v>
      </c>
      <c r="D23" s="0" t="s">
        <v>3298</v>
      </c>
      <c r="E23" s="0" t="s">
        <v>3299</v>
      </c>
      <c r="F23" s="0" t="s">
        <v>3276</v>
      </c>
      <c r="G23" s="0" t="s">
        <v>1612</v>
      </c>
    </row>
    <row customHeight="1" ht="11.25">
      <c r="A24" s="1065" t="s">
        <v>16</v>
      </c>
      <c r="B24" s="0" t="s">
        <v>3287</v>
      </c>
      <c r="C24" s="0" t="s">
        <v>3288</v>
      </c>
      <c r="D24" s="0" t="s">
        <v>3300</v>
      </c>
      <c r="E24" s="0" t="s">
        <v>3301</v>
      </c>
      <c r="F24" s="0" t="s">
        <v>3270</v>
      </c>
      <c r="G24" s="0" t="s">
        <v>1620</v>
      </c>
    </row>
    <row customHeight="1" ht="11.25">
      <c r="A25" s="1065" t="s">
        <v>16</v>
      </c>
      <c r="B25" s="0" t="s">
        <v>3287</v>
      </c>
      <c r="C25" s="0" t="s">
        <v>3288</v>
      </c>
      <c r="D25" s="0" t="s">
        <v>3302</v>
      </c>
      <c r="E25" s="0" t="s">
        <v>3303</v>
      </c>
      <c r="F25" s="0" t="s">
        <v>3270</v>
      </c>
      <c r="G25" s="0" t="s">
        <v>1627</v>
      </c>
    </row>
    <row customHeight="1" ht="11.25">
      <c r="A26" s="1065" t="s">
        <v>16</v>
      </c>
      <c r="B26" s="0" t="s">
        <v>3304</v>
      </c>
      <c r="C26" s="0" t="s">
        <v>3305</v>
      </c>
      <c r="D26" s="0" t="s">
        <v>3304</v>
      </c>
      <c r="E26" s="0" t="s">
        <v>3305</v>
      </c>
      <c r="F26" s="0" t="s">
        <v>3256</v>
      </c>
      <c r="G26" s="0" t="s">
        <v>1631</v>
      </c>
    </row>
    <row customHeight="1" ht="11.25">
      <c r="A27" s="1065" t="s">
        <v>16</v>
      </c>
      <c r="B27" s="0" t="s">
        <v>3306</v>
      </c>
      <c r="C27" s="0" t="s">
        <v>3307</v>
      </c>
      <c r="D27" s="0" t="s">
        <v>3308</v>
      </c>
      <c r="E27" s="0" t="s">
        <v>3309</v>
      </c>
      <c r="F27" s="0" t="s">
        <v>3293</v>
      </c>
      <c r="G27" s="0" t="s">
        <v>1636</v>
      </c>
    </row>
    <row customHeight="1" ht="11.25">
      <c r="A28" s="1065" t="s">
        <v>16</v>
      </c>
      <c r="B28" s="0" t="s">
        <v>3306</v>
      </c>
      <c r="C28" s="0" t="s">
        <v>3307</v>
      </c>
      <c r="D28" s="0" t="s">
        <v>3310</v>
      </c>
      <c r="E28" s="0" t="s">
        <v>3311</v>
      </c>
      <c r="F28" s="0" t="s">
        <v>3270</v>
      </c>
      <c r="G28" s="0" t="s">
        <v>1644</v>
      </c>
    </row>
    <row customHeight="1" ht="11.25">
      <c r="A29" s="1065" t="s">
        <v>16</v>
      </c>
      <c r="B29" s="0" t="s">
        <v>3306</v>
      </c>
      <c r="C29" s="0" t="s">
        <v>3307</v>
      </c>
      <c r="D29" s="0" t="s">
        <v>3312</v>
      </c>
      <c r="E29" s="0" t="s">
        <v>3313</v>
      </c>
      <c r="F29" s="0" t="s">
        <v>3270</v>
      </c>
      <c r="G29" s="0" t="s">
        <v>1646</v>
      </c>
    </row>
    <row customHeight="1" ht="11.25">
      <c r="A30" s="1065" t="s">
        <v>16</v>
      </c>
      <c r="B30" s="0" t="s">
        <v>3306</v>
      </c>
      <c r="C30" s="0" t="s">
        <v>3307</v>
      </c>
      <c r="D30" s="0" t="s">
        <v>3314</v>
      </c>
      <c r="E30" s="0" t="s">
        <v>3315</v>
      </c>
      <c r="F30" s="0" t="s">
        <v>3270</v>
      </c>
      <c r="G30" s="0" t="s">
        <v>1649</v>
      </c>
    </row>
    <row customHeight="1" ht="11.25">
      <c r="A31" s="1065" t="s">
        <v>16</v>
      </c>
      <c r="B31" s="0" t="s">
        <v>3306</v>
      </c>
      <c r="C31" s="0" t="s">
        <v>3307</v>
      </c>
      <c r="D31" s="0" t="s">
        <v>3316</v>
      </c>
      <c r="E31" s="0" t="s">
        <v>3317</v>
      </c>
      <c r="F31" s="0" t="s">
        <v>3270</v>
      </c>
      <c r="G31" s="0" t="s">
        <v>1655</v>
      </c>
    </row>
    <row customHeight="1" ht="11.25">
      <c r="A32" s="1065" t="s">
        <v>16</v>
      </c>
      <c r="B32" s="0" t="s">
        <v>3306</v>
      </c>
      <c r="C32" s="0" t="s">
        <v>3307</v>
      </c>
      <c r="D32" s="0" t="s">
        <v>3306</v>
      </c>
      <c r="E32" s="0" t="s">
        <v>3307</v>
      </c>
      <c r="F32" s="0" t="s">
        <v>3271</v>
      </c>
      <c r="G32" s="0" t="s">
        <v>1657</v>
      </c>
    </row>
    <row customHeight="1" ht="11.25">
      <c r="A33" s="1065" t="s">
        <v>16</v>
      </c>
      <c r="B33" s="0" t="s">
        <v>3306</v>
      </c>
      <c r="C33" s="0" t="s">
        <v>3307</v>
      </c>
      <c r="D33" s="0" t="s">
        <v>3318</v>
      </c>
      <c r="E33" s="0" t="s">
        <v>3319</v>
      </c>
      <c r="F33" s="0" t="s">
        <v>3270</v>
      </c>
      <c r="G33" s="0" t="s">
        <v>1659</v>
      </c>
    </row>
    <row customHeight="1" ht="11.25">
      <c r="A34" s="1065" t="s">
        <v>16</v>
      </c>
      <c r="B34" s="0" t="s">
        <v>3306</v>
      </c>
      <c r="C34" s="0" t="s">
        <v>3307</v>
      </c>
      <c r="D34" s="0" t="s">
        <v>3320</v>
      </c>
      <c r="E34" s="0" t="s">
        <v>3321</v>
      </c>
      <c r="F34" s="0" t="s">
        <v>3270</v>
      </c>
      <c r="G34" s="0" t="s">
        <v>1661</v>
      </c>
    </row>
    <row customHeight="1" ht="11.25">
      <c r="A35" s="1065" t="s">
        <v>16</v>
      </c>
      <c r="B35" s="0" t="s">
        <v>3306</v>
      </c>
      <c r="C35" s="0" t="s">
        <v>3307</v>
      </c>
      <c r="D35" s="0" t="s">
        <v>3322</v>
      </c>
      <c r="E35" s="0" t="s">
        <v>3323</v>
      </c>
      <c r="F35" s="0" t="s">
        <v>3270</v>
      </c>
      <c r="G35" s="0" t="s">
        <v>1666</v>
      </c>
    </row>
    <row customHeight="1" ht="11.25">
      <c r="A36" s="1065" t="s">
        <v>16</v>
      </c>
      <c r="B36" s="0" t="s">
        <v>3306</v>
      </c>
      <c r="C36" s="0" t="s">
        <v>3307</v>
      </c>
      <c r="D36" s="0" t="s">
        <v>3324</v>
      </c>
      <c r="E36" s="0" t="s">
        <v>3325</v>
      </c>
      <c r="F36" s="0" t="s">
        <v>3270</v>
      </c>
      <c r="G36" s="0" t="s">
        <v>1671</v>
      </c>
    </row>
    <row customHeight="1" ht="11.25">
      <c r="A37" s="1065" t="s">
        <v>16</v>
      </c>
      <c r="B37" s="0" t="s">
        <v>3306</v>
      </c>
      <c r="C37" s="0" t="s">
        <v>3307</v>
      </c>
      <c r="D37" s="0" t="s">
        <v>3326</v>
      </c>
      <c r="E37" s="0" t="s">
        <v>3327</v>
      </c>
      <c r="F37" s="0" t="s">
        <v>3270</v>
      </c>
      <c r="G37" s="0" t="s">
        <v>1675</v>
      </c>
    </row>
    <row customHeight="1" ht="11.25">
      <c r="A38" s="1065" t="s">
        <v>16</v>
      </c>
      <c r="B38" s="0" t="s">
        <v>3328</v>
      </c>
      <c r="C38" s="0" t="s">
        <v>3329</v>
      </c>
      <c r="D38" s="0" t="s">
        <v>3328</v>
      </c>
      <c r="E38" s="0" t="s">
        <v>3329</v>
      </c>
      <c r="F38" s="0" t="s">
        <v>3256</v>
      </c>
      <c r="G38" s="0" t="s">
        <v>1683</v>
      </c>
    </row>
    <row customHeight="1" ht="11.25">
      <c r="A39" s="1065" t="s">
        <v>16</v>
      </c>
      <c r="B39" s="0" t="s">
        <v>3330</v>
      </c>
      <c r="C39" s="0" t="s">
        <v>3331</v>
      </c>
      <c r="D39" s="0" t="s">
        <v>3330</v>
      </c>
      <c r="E39" s="0" t="s">
        <v>3331</v>
      </c>
      <c r="F39" s="0" t="s">
        <v>3259</v>
      </c>
      <c r="G39" s="0" t="s">
        <v>1689</v>
      </c>
    </row>
    <row customHeight="1" ht="11.25">
      <c r="A40" s="1065" t="s">
        <v>16</v>
      </c>
      <c r="B40" s="0" t="s">
        <v>3332</v>
      </c>
      <c r="C40" s="0" t="s">
        <v>3333</v>
      </c>
      <c r="D40" s="0" t="s">
        <v>3334</v>
      </c>
      <c r="E40" s="0" t="s">
        <v>3335</v>
      </c>
      <c r="F40" s="0" t="s">
        <v>3270</v>
      </c>
      <c r="G40" s="0" t="s">
        <v>1694</v>
      </c>
    </row>
    <row customHeight="1" ht="11.25">
      <c r="A41" s="1065" t="s">
        <v>16</v>
      </c>
      <c r="B41" s="0" t="s">
        <v>3332</v>
      </c>
      <c r="C41" s="0" t="s">
        <v>3333</v>
      </c>
      <c r="D41" s="0" t="s">
        <v>3336</v>
      </c>
      <c r="E41" s="0" t="s">
        <v>3337</v>
      </c>
      <c r="F41" s="0" t="s">
        <v>3270</v>
      </c>
      <c r="G41" s="0" t="s">
        <v>1698</v>
      </c>
    </row>
    <row customHeight="1" ht="11.25">
      <c r="A42" s="1065" t="s">
        <v>16</v>
      </c>
      <c r="B42" s="0" t="s">
        <v>3332</v>
      </c>
      <c r="C42" s="0" t="s">
        <v>3333</v>
      </c>
      <c r="D42" s="0" t="s">
        <v>3338</v>
      </c>
      <c r="E42" s="0" t="s">
        <v>3339</v>
      </c>
      <c r="F42" s="0" t="s">
        <v>3270</v>
      </c>
      <c r="G42" s="0" t="s">
        <v>1701</v>
      </c>
    </row>
    <row customHeight="1" ht="11.25">
      <c r="A43" s="1065" t="s">
        <v>16</v>
      </c>
      <c r="B43" s="0" t="s">
        <v>3332</v>
      </c>
      <c r="C43" s="0" t="s">
        <v>3333</v>
      </c>
      <c r="D43" s="0" t="s">
        <v>3332</v>
      </c>
      <c r="E43" s="0" t="s">
        <v>3333</v>
      </c>
      <c r="F43" s="0" t="s">
        <v>3271</v>
      </c>
      <c r="G43" s="0" t="s">
        <v>1708</v>
      </c>
    </row>
    <row customHeight="1" ht="11.25">
      <c r="A44" s="1065" t="s">
        <v>16</v>
      </c>
      <c r="B44" s="0" t="s">
        <v>3332</v>
      </c>
      <c r="C44" s="0" t="s">
        <v>3333</v>
      </c>
      <c r="D44" s="0" t="s">
        <v>3340</v>
      </c>
      <c r="E44" s="0" t="s">
        <v>3341</v>
      </c>
      <c r="F44" s="0" t="s">
        <v>3270</v>
      </c>
      <c r="G44" s="0" t="s">
        <v>1717</v>
      </c>
    </row>
    <row customHeight="1" ht="11.25">
      <c r="A45" s="1065" t="s">
        <v>16</v>
      </c>
      <c r="B45" s="0" t="s">
        <v>3332</v>
      </c>
      <c r="C45" s="0" t="s">
        <v>3333</v>
      </c>
      <c r="D45" s="0" t="s">
        <v>3342</v>
      </c>
      <c r="E45" s="0" t="s">
        <v>3343</v>
      </c>
      <c r="F45" s="0" t="s">
        <v>3293</v>
      </c>
      <c r="G45" s="0" t="s">
        <v>1722</v>
      </c>
    </row>
    <row customHeight="1" ht="11.25">
      <c r="A46" s="1065" t="s">
        <v>16</v>
      </c>
      <c r="B46" s="0" t="s">
        <v>3332</v>
      </c>
      <c r="C46" s="0" t="s">
        <v>3333</v>
      </c>
      <c r="D46" s="0" t="s">
        <v>3344</v>
      </c>
      <c r="E46" s="0" t="s">
        <v>3345</v>
      </c>
      <c r="F46" s="0" t="s">
        <v>3270</v>
      </c>
      <c r="G46" s="0" t="s">
        <v>1726</v>
      </c>
    </row>
    <row customHeight="1" ht="11.25">
      <c r="A47" s="1065" t="s">
        <v>16</v>
      </c>
      <c r="B47" s="0" t="s">
        <v>3332</v>
      </c>
      <c r="C47" s="0" t="s">
        <v>3333</v>
      </c>
      <c r="D47" s="0" t="s">
        <v>3346</v>
      </c>
      <c r="E47" s="0" t="s">
        <v>3347</v>
      </c>
      <c r="F47" s="0" t="s">
        <v>3270</v>
      </c>
      <c r="G47" s="0" t="s">
        <v>1732</v>
      </c>
    </row>
    <row customHeight="1" ht="11.25">
      <c r="A48" s="1065" t="s">
        <v>16</v>
      </c>
      <c r="B48" s="0" t="s">
        <v>3348</v>
      </c>
      <c r="C48" s="0" t="s">
        <v>3349</v>
      </c>
      <c r="D48" s="0" t="s">
        <v>3348</v>
      </c>
      <c r="E48" s="0" t="s">
        <v>3349</v>
      </c>
      <c r="F48" s="0" t="s">
        <v>3271</v>
      </c>
      <c r="G48" s="0" t="s">
        <v>1736</v>
      </c>
    </row>
    <row customHeight="1" ht="11.25">
      <c r="A49" s="1065" t="s">
        <v>16</v>
      </c>
      <c r="B49" s="0" t="s">
        <v>3348</v>
      </c>
      <c r="C49" s="0" t="s">
        <v>3349</v>
      </c>
      <c r="D49" s="0" t="s">
        <v>3350</v>
      </c>
      <c r="E49" s="0" t="s">
        <v>3351</v>
      </c>
      <c r="F49" s="0" t="s">
        <v>3270</v>
      </c>
      <c r="G49" s="0" t="s">
        <v>1739</v>
      </c>
    </row>
    <row customHeight="1" ht="11.25">
      <c r="A50" s="1065" t="s">
        <v>16</v>
      </c>
      <c r="B50" s="0" t="s">
        <v>3348</v>
      </c>
      <c r="C50" s="0" t="s">
        <v>3349</v>
      </c>
      <c r="D50" s="0" t="s">
        <v>3352</v>
      </c>
      <c r="E50" s="0" t="s">
        <v>3353</v>
      </c>
      <c r="F50" s="0" t="s">
        <v>3270</v>
      </c>
      <c r="G50" s="0" t="s">
        <v>1742</v>
      </c>
    </row>
    <row customHeight="1" ht="11.25">
      <c r="A51" s="1065" t="s">
        <v>16</v>
      </c>
      <c r="B51" s="0" t="s">
        <v>3348</v>
      </c>
      <c r="C51" s="0" t="s">
        <v>3349</v>
      </c>
      <c r="D51" s="0" t="s">
        <v>3354</v>
      </c>
      <c r="E51" s="0" t="s">
        <v>3355</v>
      </c>
      <c r="F51" s="0" t="s">
        <v>3270</v>
      </c>
      <c r="G51" s="0" t="s">
        <v>1747</v>
      </c>
    </row>
    <row customHeight="1" ht="11.25">
      <c r="A52" s="1065" t="s">
        <v>16</v>
      </c>
      <c r="B52" s="0" t="s">
        <v>3356</v>
      </c>
      <c r="C52" s="0" t="s">
        <v>3357</v>
      </c>
      <c r="D52" s="0" t="s">
        <v>3356</v>
      </c>
      <c r="E52" s="0" t="s">
        <v>3357</v>
      </c>
      <c r="F52" s="0" t="s">
        <v>3259</v>
      </c>
      <c r="G52" s="0" t="s">
        <v>1751</v>
      </c>
    </row>
    <row customHeight="1" ht="11.25">
      <c r="A53" s="1065" t="s">
        <v>16</v>
      </c>
      <c r="B53" s="0" t="s">
        <v>3358</v>
      </c>
      <c r="C53" s="0" t="s">
        <v>3359</v>
      </c>
      <c r="D53" s="0" t="s">
        <v>3358</v>
      </c>
      <c r="E53" s="0" t="s">
        <v>3359</v>
      </c>
      <c r="F53" s="0" t="s">
        <v>3256</v>
      </c>
      <c r="G53" s="0" t="s">
        <v>1753</v>
      </c>
    </row>
    <row customHeight="1" ht="11.25">
      <c r="A54" s="1065" t="s">
        <v>16</v>
      </c>
      <c r="B54" s="0" t="s">
        <v>3360</v>
      </c>
      <c r="C54" s="0" t="s">
        <v>3361</v>
      </c>
      <c r="D54" s="0" t="s">
        <v>3360</v>
      </c>
      <c r="E54" s="0" t="s">
        <v>3361</v>
      </c>
      <c r="F54" s="0" t="s">
        <v>3256</v>
      </c>
      <c r="G54" s="0" t="s">
        <v>1756</v>
      </c>
    </row>
    <row customHeight="1" ht="11.25">
      <c r="A55" s="1065" t="s">
        <v>16</v>
      </c>
      <c r="B55" s="0" t="s">
        <v>110</v>
      </c>
      <c r="C55" s="0" t="s">
        <v>111</v>
      </c>
      <c r="D55" s="0" t="s">
        <v>110</v>
      </c>
      <c r="E55" s="0" t="s">
        <v>111</v>
      </c>
      <c r="F55" s="0" t="s">
        <v>3259</v>
      </c>
      <c r="G55" s="0" t="s">
        <v>109</v>
      </c>
    </row>
    <row customHeight="1" ht="11.25">
      <c r="A56" s="1065" t="s">
        <v>16</v>
      </c>
      <c r="B56" s="0" t="s">
        <v>3362</v>
      </c>
      <c r="C56" s="0" t="s">
        <v>3363</v>
      </c>
      <c r="D56" s="0" t="s">
        <v>3362</v>
      </c>
      <c r="E56" s="0" t="s">
        <v>3363</v>
      </c>
      <c r="F56" s="0" t="s">
        <v>3256</v>
      </c>
      <c r="G56" s="0" t="s">
        <v>1763</v>
      </c>
    </row>
    <row customHeight="1" ht="11.25">
      <c r="A57" s="1065" t="s">
        <v>16</v>
      </c>
      <c r="B57" s="0" t="s">
        <v>3364</v>
      </c>
      <c r="C57" s="0" t="s">
        <v>3365</v>
      </c>
      <c r="D57" s="0" t="s">
        <v>3366</v>
      </c>
      <c r="E57" s="0" t="s">
        <v>3367</v>
      </c>
      <c r="F57" s="0" t="s">
        <v>3270</v>
      </c>
      <c r="G57" s="0" t="s">
        <v>1766</v>
      </c>
    </row>
    <row customHeight="1" ht="11.25">
      <c r="A58" s="1065" t="s">
        <v>16</v>
      </c>
      <c r="B58" s="0" t="s">
        <v>3364</v>
      </c>
      <c r="C58" s="0" t="s">
        <v>3365</v>
      </c>
      <c r="D58" s="0" t="s">
        <v>3368</v>
      </c>
      <c r="E58" s="0" t="s">
        <v>3369</v>
      </c>
      <c r="F58" s="0" t="s">
        <v>3270</v>
      </c>
      <c r="G58" s="0" t="s">
        <v>1769</v>
      </c>
    </row>
    <row customHeight="1" ht="11.25">
      <c r="A59" s="1065" t="s">
        <v>16</v>
      </c>
      <c r="B59" s="0" t="s">
        <v>3364</v>
      </c>
      <c r="C59" s="0" t="s">
        <v>3365</v>
      </c>
      <c r="D59" s="0" t="s">
        <v>3370</v>
      </c>
      <c r="E59" s="0" t="s">
        <v>3371</v>
      </c>
      <c r="F59" s="0" t="s">
        <v>3270</v>
      </c>
      <c r="G59" s="0" t="s">
        <v>1773</v>
      </c>
    </row>
    <row customHeight="1" ht="11.25">
      <c r="A60" s="1065" t="s">
        <v>16</v>
      </c>
      <c r="B60" s="0" t="s">
        <v>3364</v>
      </c>
      <c r="C60" s="0" t="s">
        <v>3365</v>
      </c>
      <c r="D60" s="0" t="s">
        <v>3372</v>
      </c>
      <c r="E60" s="0" t="s">
        <v>3373</v>
      </c>
      <c r="F60" s="0" t="s">
        <v>3276</v>
      </c>
      <c r="G60" s="0" t="s">
        <v>1777</v>
      </c>
    </row>
    <row customHeight="1" ht="11.25">
      <c r="A61" s="1065" t="s">
        <v>16</v>
      </c>
      <c r="B61" s="0" t="s">
        <v>3364</v>
      </c>
      <c r="C61" s="0" t="s">
        <v>3365</v>
      </c>
      <c r="D61" s="0" t="s">
        <v>3374</v>
      </c>
      <c r="E61" s="0" t="s">
        <v>3375</v>
      </c>
      <c r="F61" s="0" t="s">
        <v>3270</v>
      </c>
      <c r="G61" s="0" t="s">
        <v>3376</v>
      </c>
    </row>
    <row customHeight="1" ht="11.25">
      <c r="A62" s="1065" t="s">
        <v>16</v>
      </c>
      <c r="B62" s="0" t="s">
        <v>3364</v>
      </c>
      <c r="C62" s="0" t="s">
        <v>3365</v>
      </c>
      <c r="D62" s="0" t="s">
        <v>3377</v>
      </c>
      <c r="E62" s="0" t="s">
        <v>3378</v>
      </c>
      <c r="F62" s="0" t="s">
        <v>3270</v>
      </c>
      <c r="G62" s="0" t="s">
        <v>3379</v>
      </c>
    </row>
    <row customHeight="1" ht="11.25">
      <c r="A63" s="1065" t="s">
        <v>16</v>
      </c>
      <c r="B63" s="0" t="s">
        <v>3364</v>
      </c>
      <c r="C63" s="0" t="s">
        <v>3365</v>
      </c>
      <c r="D63" s="0" t="s">
        <v>3364</v>
      </c>
      <c r="E63" s="0" t="s">
        <v>3365</v>
      </c>
      <c r="F63" s="0" t="s">
        <v>3271</v>
      </c>
      <c r="G63" s="0" t="s">
        <v>3380</v>
      </c>
    </row>
    <row customHeight="1" ht="11.25">
      <c r="A64" s="1065" t="s">
        <v>16</v>
      </c>
      <c r="B64" s="0" t="s">
        <v>3364</v>
      </c>
      <c r="C64" s="0" t="s">
        <v>3365</v>
      </c>
      <c r="D64" s="0" t="s">
        <v>3381</v>
      </c>
      <c r="E64" s="0" t="s">
        <v>3382</v>
      </c>
      <c r="F64" s="0" t="s">
        <v>3270</v>
      </c>
      <c r="G64" s="0" t="s">
        <v>3383</v>
      </c>
    </row>
    <row customHeight="1" ht="11.25">
      <c r="A65" s="1065" t="s">
        <v>16</v>
      </c>
      <c r="B65" s="0" t="s">
        <v>3384</v>
      </c>
      <c r="C65" s="0" t="s">
        <v>3385</v>
      </c>
      <c r="D65" s="0" t="s">
        <v>3384</v>
      </c>
      <c r="E65" s="0" t="s">
        <v>3385</v>
      </c>
      <c r="F65" s="0" t="s">
        <v>3256</v>
      </c>
      <c r="G65" s="0" t="s">
        <v>3386</v>
      </c>
    </row>
    <row customHeight="1" ht="11.25">
      <c r="A66" s="1065" t="s">
        <v>16</v>
      </c>
      <c r="B66" s="0" t="s">
        <v>3387</v>
      </c>
      <c r="C66" s="0" t="s">
        <v>3388</v>
      </c>
      <c r="D66" s="0" t="s">
        <v>3387</v>
      </c>
      <c r="E66" s="0" t="s">
        <v>3388</v>
      </c>
      <c r="F66" s="0" t="s">
        <v>3256</v>
      </c>
      <c r="G66" s="0" t="s">
        <v>3389</v>
      </c>
    </row>
    <row customHeight="1" ht="11.25">
      <c r="A67" s="1065" t="s">
        <v>16</v>
      </c>
      <c r="B67" s="0" t="s">
        <v>3390</v>
      </c>
      <c r="C67" s="0" t="s">
        <v>3391</v>
      </c>
      <c r="D67" s="0" t="s">
        <v>3392</v>
      </c>
      <c r="E67" s="0" t="s">
        <v>3393</v>
      </c>
      <c r="F67" s="0" t="s">
        <v>3270</v>
      </c>
      <c r="G67" s="0" t="s">
        <v>2097</v>
      </c>
    </row>
    <row customHeight="1" ht="11.25">
      <c r="A68" s="1065" t="s">
        <v>16</v>
      </c>
      <c r="B68" s="0" t="s">
        <v>3390</v>
      </c>
      <c r="C68" s="0" t="s">
        <v>3391</v>
      </c>
      <c r="D68" s="0" t="s">
        <v>3394</v>
      </c>
      <c r="E68" s="0" t="s">
        <v>3395</v>
      </c>
      <c r="F68" s="0" t="s">
        <v>3270</v>
      </c>
      <c r="G68" s="0" t="s">
        <v>3396</v>
      </c>
    </row>
    <row customHeight="1" ht="11.25">
      <c r="A69" s="1065" t="s">
        <v>16</v>
      </c>
      <c r="B69" s="0" t="s">
        <v>3390</v>
      </c>
      <c r="C69" s="0" t="s">
        <v>3391</v>
      </c>
      <c r="D69" s="0" t="s">
        <v>3397</v>
      </c>
      <c r="E69" s="0" t="s">
        <v>3398</v>
      </c>
      <c r="F69" s="0" t="s">
        <v>3270</v>
      </c>
      <c r="G69" s="0" t="s">
        <v>2300</v>
      </c>
    </row>
    <row customHeight="1" ht="11.25">
      <c r="A70" s="1065" t="s">
        <v>16</v>
      </c>
      <c r="B70" s="0" t="s">
        <v>3390</v>
      </c>
      <c r="C70" s="0" t="s">
        <v>3391</v>
      </c>
      <c r="D70" s="0" t="s">
        <v>3399</v>
      </c>
      <c r="E70" s="0" t="s">
        <v>3400</v>
      </c>
      <c r="F70" s="0" t="s">
        <v>3270</v>
      </c>
      <c r="G70" s="0" t="s">
        <v>3401</v>
      </c>
    </row>
    <row customHeight="1" ht="11.25">
      <c r="A71" s="1065" t="s">
        <v>16</v>
      </c>
      <c r="B71" s="0" t="s">
        <v>3390</v>
      </c>
      <c r="C71" s="0" t="s">
        <v>3391</v>
      </c>
      <c r="D71" s="0" t="s">
        <v>3402</v>
      </c>
      <c r="E71" s="0" t="s">
        <v>3403</v>
      </c>
      <c r="F71" s="0" t="s">
        <v>3270</v>
      </c>
      <c r="G71" s="0" t="s">
        <v>3404</v>
      </c>
    </row>
    <row customHeight="1" ht="11.25">
      <c r="A72" s="1065" t="s">
        <v>16</v>
      </c>
      <c r="B72" s="0" t="s">
        <v>3390</v>
      </c>
      <c r="C72" s="0" t="s">
        <v>3391</v>
      </c>
      <c r="D72" s="0" t="s">
        <v>3390</v>
      </c>
      <c r="E72" s="0" t="s">
        <v>3391</v>
      </c>
      <c r="F72" s="0" t="s">
        <v>3271</v>
      </c>
      <c r="G72" s="0" t="s">
        <v>3405</v>
      </c>
    </row>
    <row customHeight="1" ht="11.25">
      <c r="A73" s="1065" t="s">
        <v>16</v>
      </c>
      <c r="B73" s="0" t="s">
        <v>3390</v>
      </c>
      <c r="C73" s="0" t="s">
        <v>3391</v>
      </c>
      <c r="D73" s="0" t="s">
        <v>3406</v>
      </c>
      <c r="E73" s="0" t="s">
        <v>3407</v>
      </c>
      <c r="F73" s="0" t="s">
        <v>3270</v>
      </c>
      <c r="G73" s="0" t="s">
        <v>3408</v>
      </c>
    </row>
    <row customHeight="1" ht="11.25">
      <c r="A74" s="1065" t="s">
        <v>16</v>
      </c>
      <c r="B74" s="0" t="s">
        <v>3390</v>
      </c>
      <c r="C74" s="0" t="s">
        <v>3391</v>
      </c>
      <c r="D74" s="0" t="s">
        <v>3409</v>
      </c>
      <c r="E74" s="0" t="s">
        <v>3410</v>
      </c>
      <c r="F74" s="0" t="s">
        <v>3270</v>
      </c>
      <c r="G74" s="0" t="s">
        <v>3411</v>
      </c>
    </row>
    <row customHeight="1" ht="11.25">
      <c r="A75" s="1065" t="s">
        <v>16</v>
      </c>
      <c r="B75" s="0" t="s">
        <v>3390</v>
      </c>
      <c r="C75" s="0" t="s">
        <v>3391</v>
      </c>
      <c r="D75" s="0" t="s">
        <v>3412</v>
      </c>
      <c r="E75" s="0" t="s">
        <v>3413</v>
      </c>
      <c r="F75" s="0" t="s">
        <v>3270</v>
      </c>
      <c r="G75" s="0" t="s">
        <v>3414</v>
      </c>
    </row>
    <row customHeight="1" ht="11.25">
      <c r="A76" s="1065" t="s">
        <v>16</v>
      </c>
      <c r="B76" s="0" t="s">
        <v>3415</v>
      </c>
      <c r="C76" s="0" t="s">
        <v>3416</v>
      </c>
      <c r="D76" s="0" t="s">
        <v>3415</v>
      </c>
      <c r="E76" s="0" t="s">
        <v>3416</v>
      </c>
      <c r="F76" s="0" t="s">
        <v>3256</v>
      </c>
      <c r="G76" s="0" t="s">
        <v>3417</v>
      </c>
    </row>
    <row customHeight="1" ht="11.25">
      <c r="A77" s="1065" t="s">
        <v>16</v>
      </c>
      <c r="B77" s="0" t="s">
        <v>3418</v>
      </c>
      <c r="C77" s="0" t="s">
        <v>3419</v>
      </c>
      <c r="D77" s="0" t="s">
        <v>3418</v>
      </c>
      <c r="E77" s="0" t="s">
        <v>3419</v>
      </c>
      <c r="F77" s="0" t="s">
        <v>3259</v>
      </c>
      <c r="G77" s="0" t="s">
        <v>3420</v>
      </c>
    </row>
    <row customHeight="1" ht="11.25">
      <c r="A78" s="1065" t="s">
        <v>16</v>
      </c>
      <c r="B78" s="0" t="s">
        <v>3421</v>
      </c>
      <c r="C78" s="0" t="s">
        <v>3422</v>
      </c>
      <c r="D78" s="0" t="s">
        <v>3421</v>
      </c>
      <c r="E78" s="0" t="s">
        <v>3422</v>
      </c>
      <c r="F78" s="0" t="s">
        <v>3256</v>
      </c>
      <c r="G78" s="0" t="s">
        <v>3423</v>
      </c>
    </row>
    <row customHeight="1" ht="11.25">
      <c r="A79" s="1065" t="s">
        <v>16</v>
      </c>
      <c r="B79" s="0" t="s">
        <v>3424</v>
      </c>
      <c r="C79" s="0" t="s">
        <v>3425</v>
      </c>
      <c r="D79" s="0" t="s">
        <v>3424</v>
      </c>
      <c r="E79" s="0" t="s">
        <v>3425</v>
      </c>
      <c r="F79" s="0" t="s">
        <v>3256</v>
      </c>
      <c r="G79" s="0" t="s">
        <v>3426</v>
      </c>
    </row>
    <row customHeight="1" ht="11.25">
      <c r="A80" s="1065" t="s">
        <v>16</v>
      </c>
      <c r="B80" s="0" t="s">
        <v>3427</v>
      </c>
      <c r="C80" s="0" t="s">
        <v>3428</v>
      </c>
      <c r="D80" s="0" t="s">
        <v>3427</v>
      </c>
      <c r="E80" s="0" t="s">
        <v>3428</v>
      </c>
      <c r="F80" s="0" t="s">
        <v>3256</v>
      </c>
      <c r="G80" s="0" t="s">
        <v>3429</v>
      </c>
    </row>
    <row customHeight="1" ht="11.25">
      <c r="A81" s="1065" t="s">
        <v>16</v>
      </c>
      <c r="B81" s="0" t="s">
        <v>3430</v>
      </c>
      <c r="C81" s="0" t="s">
        <v>3431</v>
      </c>
      <c r="D81" s="0" t="s">
        <v>3430</v>
      </c>
      <c r="E81" s="0" t="s">
        <v>3431</v>
      </c>
      <c r="F81" s="0" t="s">
        <v>3256</v>
      </c>
      <c r="G81" s="0" t="s">
        <v>3432</v>
      </c>
    </row>
    <row customHeight="1" ht="11.25">
      <c r="A82" s="1065" t="s">
        <v>16</v>
      </c>
      <c r="B82" s="0" t="s">
        <v>3433</v>
      </c>
      <c r="C82" s="0" t="s">
        <v>3434</v>
      </c>
      <c r="D82" s="0" t="s">
        <v>3435</v>
      </c>
      <c r="E82" s="0" t="s">
        <v>3436</v>
      </c>
      <c r="F82" s="0" t="s">
        <v>3270</v>
      </c>
      <c r="G82" s="0" t="s">
        <v>3437</v>
      </c>
    </row>
    <row customHeight="1" ht="11.25">
      <c r="A83" s="1065" t="s">
        <v>16</v>
      </c>
      <c r="B83" s="0" t="s">
        <v>3433</v>
      </c>
      <c r="C83" s="0" t="s">
        <v>3434</v>
      </c>
      <c r="D83" s="0" t="s">
        <v>3438</v>
      </c>
      <c r="E83" s="0" t="s">
        <v>3439</v>
      </c>
      <c r="F83" s="0" t="s">
        <v>3276</v>
      </c>
      <c r="G83" s="0" t="s">
        <v>3440</v>
      </c>
    </row>
    <row customHeight="1" ht="11.25">
      <c r="A84" s="1065" t="s">
        <v>16</v>
      </c>
      <c r="B84" s="0" t="s">
        <v>3433</v>
      </c>
      <c r="C84" s="0" t="s">
        <v>3434</v>
      </c>
      <c r="D84" s="0" t="s">
        <v>3441</v>
      </c>
      <c r="E84" s="0" t="s">
        <v>3442</v>
      </c>
      <c r="F84" s="0" t="s">
        <v>3270</v>
      </c>
      <c r="G84" s="0" t="s">
        <v>3443</v>
      </c>
    </row>
    <row customHeight="1" ht="11.25">
      <c r="A85" s="1065" t="s">
        <v>16</v>
      </c>
      <c r="B85" s="0" t="s">
        <v>3433</v>
      </c>
      <c r="C85" s="0" t="s">
        <v>3434</v>
      </c>
      <c r="D85" s="0" t="s">
        <v>3444</v>
      </c>
      <c r="E85" s="0" t="s">
        <v>3445</v>
      </c>
      <c r="F85" s="0" t="s">
        <v>3293</v>
      </c>
      <c r="G85" s="0" t="s">
        <v>3446</v>
      </c>
    </row>
    <row customHeight="1" ht="11.25">
      <c r="A86" s="1065" t="s">
        <v>16</v>
      </c>
      <c r="B86" s="0" t="s">
        <v>3433</v>
      </c>
      <c r="C86" s="0" t="s">
        <v>3434</v>
      </c>
      <c r="D86" s="0" t="s">
        <v>3447</v>
      </c>
      <c r="E86" s="0" t="s">
        <v>3448</v>
      </c>
      <c r="F86" s="0" t="s">
        <v>3270</v>
      </c>
      <c r="G86" s="0" t="s">
        <v>3449</v>
      </c>
    </row>
    <row customHeight="1" ht="11.25">
      <c r="A87" s="1065" t="s">
        <v>16</v>
      </c>
      <c r="B87" s="0" t="s">
        <v>3433</v>
      </c>
      <c r="C87" s="0" t="s">
        <v>3434</v>
      </c>
      <c r="D87" s="0" t="s">
        <v>3433</v>
      </c>
      <c r="E87" s="0" t="s">
        <v>3434</v>
      </c>
      <c r="F87" s="0" t="s">
        <v>3271</v>
      </c>
      <c r="G87" s="0" t="s">
        <v>3450</v>
      </c>
    </row>
    <row customHeight="1" ht="11.25">
      <c r="A88" s="1065" t="s">
        <v>16</v>
      </c>
      <c r="B88" s="0" t="s">
        <v>3433</v>
      </c>
      <c r="C88" s="0" t="s">
        <v>3434</v>
      </c>
      <c r="D88" s="0" t="s">
        <v>3451</v>
      </c>
      <c r="E88" s="0" t="s">
        <v>3452</v>
      </c>
      <c r="F88" s="0" t="s">
        <v>3270</v>
      </c>
      <c r="G88" s="0" t="s">
        <v>3453</v>
      </c>
    </row>
    <row customHeight="1" ht="11.25">
      <c r="A89" s="1065" t="s">
        <v>16</v>
      </c>
      <c r="B89" s="0" t="s">
        <v>3454</v>
      </c>
      <c r="C89" s="0" t="s">
        <v>3455</v>
      </c>
      <c r="D89" s="0" t="s">
        <v>3454</v>
      </c>
      <c r="E89" s="0" t="s">
        <v>3455</v>
      </c>
      <c r="F89" s="0" t="s">
        <v>3256</v>
      </c>
      <c r="G89" s="0" t="s">
        <v>3456</v>
      </c>
    </row>
    <row customHeight="1" ht="11.25">
      <c r="A90" s="1065" t="s">
        <v>16</v>
      </c>
      <c r="B90" s="0" t="s">
        <v>3457</v>
      </c>
      <c r="C90" s="0" t="s">
        <v>3458</v>
      </c>
      <c r="D90" s="0" t="s">
        <v>3457</v>
      </c>
      <c r="E90" s="0" t="s">
        <v>3458</v>
      </c>
      <c r="F90" s="0" t="s">
        <v>3256</v>
      </c>
      <c r="G90" s="0" t="s">
        <v>3459</v>
      </c>
    </row>
    <row customHeight="1" ht="11.25">
      <c r="A91" s="1065" t="s">
        <v>16</v>
      </c>
      <c r="B91" s="0" t="s">
        <v>3460</v>
      </c>
      <c r="C91" s="0" t="s">
        <v>3461</v>
      </c>
      <c r="D91" s="0" t="s">
        <v>3462</v>
      </c>
      <c r="E91" s="0" t="s">
        <v>3463</v>
      </c>
      <c r="F91" s="0" t="s">
        <v>3270</v>
      </c>
      <c r="G91" s="0" t="s">
        <v>3464</v>
      </c>
    </row>
    <row customHeight="1" ht="11.25">
      <c r="A92" s="1065" t="s">
        <v>16</v>
      </c>
      <c r="B92" s="0" t="s">
        <v>3460</v>
      </c>
      <c r="C92" s="0" t="s">
        <v>3461</v>
      </c>
      <c r="D92" s="0" t="s">
        <v>3465</v>
      </c>
      <c r="E92" s="0" t="s">
        <v>3466</v>
      </c>
      <c r="F92" s="0" t="s">
        <v>3270</v>
      </c>
      <c r="G92" s="0" t="s">
        <v>3467</v>
      </c>
    </row>
    <row customHeight="1" ht="11.25">
      <c r="A93" s="1065" t="s">
        <v>16</v>
      </c>
      <c r="B93" s="0" t="s">
        <v>3460</v>
      </c>
      <c r="C93" s="0" t="s">
        <v>3461</v>
      </c>
      <c r="D93" s="0" t="s">
        <v>3468</v>
      </c>
      <c r="E93" s="0" t="s">
        <v>3469</v>
      </c>
      <c r="F93" s="0" t="s">
        <v>3270</v>
      </c>
      <c r="G93" s="0" t="s">
        <v>3470</v>
      </c>
    </row>
    <row customHeight="1" ht="11.25">
      <c r="A94" s="1065" t="s">
        <v>16</v>
      </c>
      <c r="B94" s="0" t="s">
        <v>3460</v>
      </c>
      <c r="C94" s="0" t="s">
        <v>3461</v>
      </c>
      <c r="D94" s="0" t="s">
        <v>3471</v>
      </c>
      <c r="E94" s="0" t="s">
        <v>3472</v>
      </c>
      <c r="F94" s="0" t="s">
        <v>3293</v>
      </c>
      <c r="G94" s="0" t="s">
        <v>3473</v>
      </c>
    </row>
    <row customHeight="1" ht="11.25">
      <c r="A95" s="1065" t="s">
        <v>16</v>
      </c>
      <c r="B95" s="0" t="s">
        <v>3460</v>
      </c>
      <c r="C95" s="0" t="s">
        <v>3461</v>
      </c>
      <c r="D95" s="0" t="s">
        <v>3474</v>
      </c>
      <c r="E95" s="0" t="s">
        <v>3475</v>
      </c>
      <c r="F95" s="0" t="s">
        <v>3270</v>
      </c>
      <c r="G95" s="0" t="s">
        <v>3476</v>
      </c>
    </row>
    <row customHeight="1" ht="11.25">
      <c r="A96" s="1065" t="s">
        <v>16</v>
      </c>
      <c r="B96" s="0" t="s">
        <v>3460</v>
      </c>
      <c r="C96" s="0" t="s">
        <v>3461</v>
      </c>
      <c r="D96" s="0" t="s">
        <v>3460</v>
      </c>
      <c r="E96" s="0" t="s">
        <v>3461</v>
      </c>
      <c r="F96" s="0" t="s">
        <v>3271</v>
      </c>
      <c r="G96" s="0" t="s">
        <v>3477</v>
      </c>
    </row>
    <row customHeight="1" ht="11.25">
      <c r="A97" s="1065" t="s">
        <v>16</v>
      </c>
      <c r="B97" s="0" t="s">
        <v>3460</v>
      </c>
      <c r="C97" s="0" t="s">
        <v>3461</v>
      </c>
      <c r="D97" s="0" t="s">
        <v>3478</v>
      </c>
      <c r="E97" s="0" t="s">
        <v>3479</v>
      </c>
      <c r="F97" s="0" t="s">
        <v>3293</v>
      </c>
      <c r="G97" s="0" t="s">
        <v>3480</v>
      </c>
    </row>
    <row customHeight="1" ht="11.25">
      <c r="A98" s="1065" t="s">
        <v>16</v>
      </c>
      <c r="B98" s="0" t="s">
        <v>3460</v>
      </c>
      <c r="C98" s="0" t="s">
        <v>3461</v>
      </c>
      <c r="D98" s="0" t="s">
        <v>3481</v>
      </c>
      <c r="E98" s="0" t="s">
        <v>3482</v>
      </c>
      <c r="F98" s="0" t="s">
        <v>3270</v>
      </c>
      <c r="G98" s="0" t="s">
        <v>3483</v>
      </c>
    </row>
    <row customHeight="1" ht="11.25">
      <c r="A99" s="1065" t="s">
        <v>16</v>
      </c>
      <c r="B99" s="0" t="s">
        <v>3484</v>
      </c>
      <c r="C99" s="0" t="s">
        <v>3485</v>
      </c>
      <c r="D99" s="0" t="s">
        <v>3484</v>
      </c>
      <c r="E99" s="0" t="s">
        <v>3485</v>
      </c>
      <c r="F99" s="0" t="s">
        <v>3256</v>
      </c>
      <c r="G99" s="0" t="s">
        <v>3486</v>
      </c>
    </row>
    <row customHeight="1" ht="11.25">
      <c r="A100" s="1065" t="s">
        <v>16</v>
      </c>
      <c r="B100" s="0" t="s">
        <v>3487</v>
      </c>
      <c r="C100" s="0" t="s">
        <v>3488</v>
      </c>
      <c r="D100" s="0" t="s">
        <v>3489</v>
      </c>
      <c r="E100" s="0" t="s">
        <v>3490</v>
      </c>
      <c r="F100" s="0" t="s">
        <v>3270</v>
      </c>
      <c r="G100" s="0" t="s">
        <v>3491</v>
      </c>
    </row>
    <row customHeight="1" ht="11.25">
      <c r="A101" s="1065" t="s">
        <v>16</v>
      </c>
      <c r="B101" s="0" t="s">
        <v>3487</v>
      </c>
      <c r="C101" s="0" t="s">
        <v>3488</v>
      </c>
      <c r="D101" s="0" t="s">
        <v>3492</v>
      </c>
      <c r="E101" s="0" t="s">
        <v>3493</v>
      </c>
      <c r="F101" s="0" t="s">
        <v>3270</v>
      </c>
      <c r="G101" s="0" t="s">
        <v>3494</v>
      </c>
    </row>
    <row customHeight="1" ht="11.25">
      <c r="A102" s="1065" t="s">
        <v>16</v>
      </c>
      <c r="B102" s="0" t="s">
        <v>3487</v>
      </c>
      <c r="C102" s="0" t="s">
        <v>3488</v>
      </c>
      <c r="D102" s="0" t="s">
        <v>3495</v>
      </c>
      <c r="E102" s="0" t="s">
        <v>3496</v>
      </c>
      <c r="F102" s="0" t="s">
        <v>3270</v>
      </c>
      <c r="G102" s="0" t="s">
        <v>3497</v>
      </c>
    </row>
    <row customHeight="1" ht="11.25">
      <c r="A103" s="1065" t="s">
        <v>16</v>
      </c>
      <c r="B103" s="0" t="s">
        <v>3487</v>
      </c>
      <c r="C103" s="0" t="s">
        <v>3488</v>
      </c>
      <c r="D103" s="0" t="s">
        <v>3498</v>
      </c>
      <c r="E103" s="0" t="s">
        <v>3499</v>
      </c>
      <c r="F103" s="0" t="s">
        <v>3270</v>
      </c>
      <c r="G103" s="0" t="s">
        <v>3500</v>
      </c>
    </row>
    <row customHeight="1" ht="11.25">
      <c r="A104" s="1065" t="s">
        <v>16</v>
      </c>
      <c r="B104" s="0" t="s">
        <v>3487</v>
      </c>
      <c r="C104" s="0" t="s">
        <v>3488</v>
      </c>
      <c r="D104" s="0" t="s">
        <v>3487</v>
      </c>
      <c r="E104" s="0" t="s">
        <v>3488</v>
      </c>
      <c r="F104" s="0" t="s">
        <v>3271</v>
      </c>
      <c r="G104" s="0" t="s">
        <v>3501</v>
      </c>
    </row>
    <row customHeight="1" ht="11.25">
      <c r="A105" s="1065" t="s">
        <v>16</v>
      </c>
      <c r="B105" s="0" t="s">
        <v>3487</v>
      </c>
      <c r="C105" s="0" t="s">
        <v>3488</v>
      </c>
      <c r="D105" s="0" t="s">
        <v>3502</v>
      </c>
      <c r="E105" s="0" t="s">
        <v>3503</v>
      </c>
      <c r="F105" s="0" t="s">
        <v>3270</v>
      </c>
      <c r="G105" s="0" t="s">
        <v>3504</v>
      </c>
    </row>
    <row customHeight="1" ht="11.25">
      <c r="A106" s="1065" t="s">
        <v>16</v>
      </c>
      <c r="B106" s="0" t="s">
        <v>3505</v>
      </c>
      <c r="C106" s="0" t="s">
        <v>3506</v>
      </c>
      <c r="D106" s="0" t="s">
        <v>3505</v>
      </c>
      <c r="E106" s="0" t="s">
        <v>3506</v>
      </c>
      <c r="F106" s="0" t="s">
        <v>3259</v>
      </c>
      <c r="G106" s="0" t="s">
        <v>3507</v>
      </c>
    </row>
    <row customHeight="1" ht="11.25">
      <c r="A107" s="1065" t="s">
        <v>16</v>
      </c>
      <c r="B107" s="0" t="s">
        <v>3508</v>
      </c>
      <c r="C107" s="0" t="s">
        <v>3509</v>
      </c>
      <c r="D107" s="0" t="s">
        <v>3508</v>
      </c>
      <c r="E107" s="0" t="s">
        <v>3509</v>
      </c>
      <c r="F107" s="0" t="s">
        <v>3259</v>
      </c>
      <c r="G107" s="0" t="s">
        <v>3510</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6BFF85-E7D8-2E5C-14F2-5D54FDECAE52}"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63221" width="13.8515625" customWidth="1"/>
    <col min="2" max="2" style="63221" width="10.421875" customWidth="1"/>
    <col min="3" max="3" style="63221" width="7.57421875" customWidth="1"/>
    <col min="4" max="4" style="63221" width="13.8515625" customWidth="1"/>
    <col min="5" max="5" style="63221" width="11.57421875" customWidth="1"/>
    <col min="6" max="6" style="63221" width="16.28125" customWidth="1"/>
    <col min="7" max="7" style="63221" width="16.00390625" customWidth="1"/>
    <col min="8" max="9" style="63221" width="16.140625" customWidth="1"/>
  </cols>
  <sheetData>
    <row customHeight="1" ht="11.25">
      <c r="A1" s="1527" t="s">
        <v>3511</v>
      </c>
      <c r="B1" s="1527" t="s">
        <v>3512</v>
      </c>
      <c r="C1" s="1851" t="s">
        <v>3513</v>
      </c>
      <c r="D1" s="1527" t="s">
        <v>3514</v>
      </c>
      <c r="E1" s="1527" t="s">
        <v>3515</v>
      </c>
      <c r="F1" s="1851" t="s">
        <v>3516</v>
      </c>
      <c r="G1" s="1851" t="s">
        <v>3517</v>
      </c>
      <c r="H1" s="1851" t="s">
        <v>3518</v>
      </c>
      <c r="I1" s="1851" t="s">
        <v>3519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0315B2-F453-42E1-53EE-B750878BFBC7}"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25FFB6-3858-E282-2E1A-DA43B996322D}"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62759" width="9.140625" hidden="1" customWidth="1"/>
    <col min="2" max="2" style="62286" width="9.140625" hidden="1" customWidth="1"/>
    <col min="3" max="3" style="62687" width="3.00390625" customWidth="1"/>
    <col min="4" max="4" style="62286" width="5.00390625" customWidth="1"/>
    <col min="5" max="5" style="62286" width="48.00390625" customWidth="1"/>
    <col min="6" max="6" style="62286" width="38.00390625" customWidth="1"/>
    <col min="7" max="7" style="62286" width="1.7109375" hidden="1" customWidth="1"/>
    <col min="8" max="11" style="62286" width="19.8515625" customWidth="1"/>
    <col min="12" max="12" style="62286" width="9.7109375" customWidth="1"/>
    <col min="13" max="18" style="62286" width="19.8515625" customWidth="1"/>
    <col min="19" max="19" style="62286" width="1.7109375" hidden="1" customWidth="1"/>
    <col min="20" max="22" style="62286" width="19.8515625" hidden="1" customWidth="1"/>
    <col min="23" max="23" style="62286" width="1.7109375" hidden="1" customWidth="1"/>
    <col min="24" max="26" style="62286" width="19.8515625" hidden="1" customWidth="1"/>
    <col min="27" max="27" style="62286" width="1.7109375" hidden="1" customWidth="1"/>
    <col min="28" max="29" style="62286" width="19.8515625" hidden="1" customWidth="1"/>
    <col min="30" max="30" style="62286" width="1.7109375" hidden="1" customWidth="1"/>
    <col min="31" max="31" style="62286" width="103.7109375" customWidth="1"/>
    <col min="32" max="34" style="62286" width="103.7109375" hidden="1" customWidth="1"/>
    <col min="35" max="35" style="58273" width="3.00390625" customWidth="1"/>
    <col min="36" max="38" style="61695" width="10.00390625" customWidth="1"/>
    <col min="39" max="39" style="61695" width="13.7109375" hidden="1" customWidth="1"/>
    <col min="40" max="40" style="61695" width="15.00390625" customWidth="1"/>
    <col min="41" max="41" style="61695" width="16.00390625" customWidth="1"/>
    <col min="42" max="45" style="61695" width="10.00390625" customWidth="1"/>
    <col min="46" max="46" style="62286" width="10.57421875" hidden="1"/>
  </cols>
  <sheetData>
    <row customHeight="1" ht="22.5" hidden="1">
      <c r="E1" s="1104"/>
      <c r="F1" s="1104"/>
      <c r="G1" s="1104"/>
      <c r="H1" s="2909" t="s">
        <v>427</v>
      </c>
      <c r="I1" s="2909"/>
      <c r="J1" s="2909"/>
      <c r="K1" s="2909"/>
      <c r="L1" s="2909"/>
      <c r="M1" s="2909"/>
      <c r="N1" s="2909"/>
      <c r="O1" s="2909"/>
      <c r="P1" s="2909"/>
      <c r="Q1" s="2909"/>
      <c r="R1" s="2909"/>
      <c r="T1" s="2909" t="s">
        <v>428</v>
      </c>
      <c r="U1" s="2909"/>
      <c r="V1" s="2909"/>
      <c r="X1" s="2909" t="s">
        <v>429</v>
      </c>
      <c r="Y1" s="2909"/>
      <c r="Z1" s="2909"/>
      <c r="AB1" s="2909" t="s">
        <v>430</v>
      </c>
      <c r="AC1" s="2909"/>
      <c r="AT1" s="1139" t="s">
        <v>14</v>
      </c>
    </row>
    <row customHeight="1" ht="14.25" hidden="1">
      <c r="AT2" s="1139">
        <v>0</v>
      </c>
    </row>
    <row s="58287" customFormat="1" customHeight="1" ht="5.25">
      <c r="C3" s="1393"/>
      <c r="D3" s="1394"/>
      <c r="E3" s="1394"/>
      <c r="F3" s="1394"/>
      <c r="G3" s="1394"/>
      <c r="H3" s="1394" t="s">
        <v>431</v>
      </c>
      <c r="I3" s="1394"/>
      <c r="J3" s="1394"/>
      <c r="K3" s="1394"/>
      <c r="L3" s="1394"/>
      <c r="M3" s="1394"/>
      <c r="N3" s="1394"/>
      <c r="O3" s="1394"/>
      <c r="P3" s="1394"/>
      <c r="Q3" s="1394"/>
      <c r="R3" s="1394"/>
      <c r="S3" s="1394"/>
      <c r="T3" s="1394"/>
      <c r="U3" s="1394"/>
      <c r="V3" s="1394"/>
      <c r="W3" s="1394"/>
      <c r="X3" s="1394"/>
      <c r="Y3" s="1394"/>
      <c r="Z3" s="1394"/>
      <c r="AA3" s="1394"/>
      <c r="AB3" s="1394"/>
      <c r="AC3" s="1394"/>
      <c r="AD3" s="1394"/>
      <c r="AE3" s="1394"/>
      <c r="AF3" s="1394"/>
      <c r="AG3" s="1394"/>
      <c r="AH3" s="1394"/>
      <c r="AJ3" s="1203"/>
      <c r="AK3" s="1203"/>
      <c r="AL3" s="1203"/>
      <c r="AM3" s="1203"/>
      <c r="AN3" s="1203"/>
      <c r="AO3" s="1203"/>
      <c r="AP3" s="1203"/>
      <c r="AQ3" s="1203"/>
      <c r="AR3" s="1203"/>
      <c r="AS3" s="1203"/>
      <c r="AT3" s="1392">
        <v>5</v>
      </c>
    </row>
    <row customHeight="1" ht="39.75">
      <c r="C4" s="1142"/>
      <c r="D4" s="284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850"/>
      <c r="F4" s="2850"/>
      <c r="G4" s="2850"/>
      <c r="H4" s="2850"/>
      <c r="I4" s="2850"/>
      <c r="J4" s="2850"/>
      <c r="K4" s="2850"/>
      <c r="L4" s="2850"/>
      <c r="M4" s="2850"/>
      <c r="N4" s="2850"/>
      <c r="O4" s="2850"/>
      <c r="P4" s="2850"/>
      <c r="Q4" s="2850"/>
      <c r="R4" s="2851"/>
      <c r="S4" s="1545"/>
      <c r="T4" s="1391"/>
      <c r="U4" s="1391"/>
      <c r="V4" s="1391"/>
      <c r="W4" s="1391"/>
      <c r="X4" s="1391"/>
      <c r="Y4" s="1391"/>
      <c r="Z4" s="1391"/>
      <c r="AA4" s="1391"/>
      <c r="AB4" s="1391"/>
      <c r="AC4" s="1391"/>
      <c r="AD4" s="1391"/>
      <c r="AE4" s="1183"/>
      <c r="AF4" s="1183"/>
      <c r="AG4" s="1183"/>
      <c r="AH4" s="1183"/>
      <c r="AI4" s="1180"/>
      <c r="AT4" s="1139">
        <v>38</v>
      </c>
    </row>
    <row s="62286" customFormat="1" customHeight="1" ht="18">
      <c r="A5" s="1451"/>
      <c r="C5" s="1514"/>
      <c r="D5" s="2906" t="str">
        <f>IF(org=0,"Не определено",org)</f>
        <v>АО "ДГК"</v>
      </c>
      <c r="E5" s="2907"/>
      <c r="F5" s="2907"/>
      <c r="G5" s="2907"/>
      <c r="H5" s="2907"/>
      <c r="I5" s="2907"/>
      <c r="J5" s="2907"/>
      <c r="K5" s="2907"/>
      <c r="L5" s="2907"/>
      <c r="M5" s="2907"/>
      <c r="N5" s="2907"/>
      <c r="O5" s="2907"/>
      <c r="P5" s="2907"/>
      <c r="Q5" s="2907"/>
      <c r="R5" s="2908"/>
      <c r="S5" s="1545"/>
      <c r="T5" s="1391"/>
      <c r="U5" s="1391"/>
      <c r="V5" s="1391"/>
      <c r="W5" s="1391"/>
      <c r="X5" s="1391"/>
      <c r="Y5" s="1391"/>
      <c r="Z5" s="1391"/>
      <c r="AA5" s="1391"/>
      <c r="AB5" s="1391"/>
      <c r="AC5" s="1391"/>
      <c r="AD5" s="1391"/>
      <c r="AE5" s="1183"/>
      <c r="AF5" s="1183"/>
      <c r="AG5" s="1183"/>
      <c r="AH5" s="1183"/>
      <c r="AI5" s="1180"/>
      <c r="AJ5" s="1203"/>
      <c r="AK5" s="1203"/>
      <c r="AL5" s="1203"/>
      <c r="AM5" s="1203"/>
      <c r="AN5" s="1203"/>
      <c r="AO5" s="1203"/>
      <c r="AP5" s="1203"/>
      <c r="AQ5" s="1203"/>
      <c r="AR5" s="1203"/>
      <c r="AS5" s="1203"/>
      <c r="AT5" s="1450">
        <v>17</v>
      </c>
    </row>
    <row s="58292" customFormat="1" customHeight="1" ht="11.549999999999999">
      <c r="A6" s="1171"/>
      <c r="C6" s="1178"/>
      <c r="D6" s="1177"/>
      <c r="E6" s="1177"/>
      <c r="F6" s="1177"/>
      <c r="G6" s="1177"/>
      <c r="H6" s="1177"/>
      <c r="I6" s="1177"/>
      <c r="J6" s="1177"/>
      <c r="K6" s="1177"/>
      <c r="L6" s="1177"/>
      <c r="M6" s="1177"/>
      <c r="N6" s="1177"/>
      <c r="O6" s="1177"/>
      <c r="P6" s="1177"/>
      <c r="Q6" s="1177"/>
      <c r="R6" s="1444"/>
      <c r="S6" s="1444"/>
      <c r="T6" s="1177"/>
      <c r="U6" s="1177"/>
      <c r="V6" s="1404"/>
      <c r="W6" s="1404"/>
      <c r="X6" s="1177"/>
      <c r="Y6" s="1177"/>
      <c r="Z6" s="1404"/>
      <c r="AA6" s="1404"/>
      <c r="AB6" s="1177"/>
      <c r="AC6" s="1404"/>
      <c r="AD6" s="1404"/>
      <c r="AE6" s="1177"/>
      <c r="AF6" s="1177"/>
      <c r="AG6" s="1177"/>
      <c r="AH6" s="1177"/>
      <c r="AJ6" s="1181"/>
      <c r="AK6" s="1181"/>
      <c r="AL6" s="1181"/>
      <c r="AM6" s="1181"/>
      <c r="AN6" s="1181"/>
      <c r="AO6" s="1181"/>
      <c r="AP6" s="1181"/>
      <c r="AQ6" s="1181"/>
      <c r="AR6" s="1181"/>
      <c r="AS6" s="1181"/>
      <c r="AT6" s="1172">
        <v>11</v>
      </c>
    </row>
    <row customHeight="1" ht="14.699999999999998">
      <c r="C7" s="1142"/>
      <c r="D7" s="2910" t="s">
        <v>375</v>
      </c>
      <c r="E7" s="2911"/>
      <c r="F7" s="2911"/>
      <c r="G7" s="2911"/>
      <c r="H7" s="2911"/>
      <c r="I7" s="2911"/>
      <c r="J7" s="2911"/>
      <c r="K7" s="2911"/>
      <c r="L7" s="2911"/>
      <c r="M7" s="2911"/>
      <c r="N7" s="2911"/>
      <c r="O7" s="2911"/>
      <c r="P7" s="2911"/>
      <c r="Q7" s="2911"/>
      <c r="R7" s="2911"/>
      <c r="S7" s="2911"/>
      <c r="T7" s="2911"/>
      <c r="U7" s="2911"/>
      <c r="V7" s="2911"/>
      <c r="W7" s="2911"/>
      <c r="X7" s="2911"/>
      <c r="Y7" s="2911"/>
      <c r="Z7" s="2911"/>
      <c r="AA7" s="2911"/>
      <c r="AB7" s="2911"/>
      <c r="AC7" s="2911"/>
      <c r="AD7" s="2912"/>
      <c r="AE7" s="2915" t="s">
        <v>376</v>
      </c>
      <c r="AF7" s="2915" t="s">
        <v>376</v>
      </c>
      <c r="AG7" s="2915" t="s">
        <v>376</v>
      </c>
      <c r="AH7" s="2915" t="s">
        <v>376</v>
      </c>
      <c r="AT7" s="1139">
        <v>14</v>
      </c>
    </row>
    <row customHeight="1" ht="27.299999999999997">
      <c r="C8" s="1142"/>
      <c r="D8" s="2819" t="s">
        <v>89</v>
      </c>
      <c r="E8" s="2915" t="str">
        <f>"Наименование "&amp;IF(TEMPLATE_SPHERE&lt;&gt;"HEAT","централизованной ","")&amp;"системы "&amp;TEMPLATE_SPHERE_RUS</f>
        <v>Наименование системы теплоснабжения</v>
      </c>
      <c r="F8" s="2915" t="str">
        <f>IF(TEMPLATE_SPHERE&lt;&gt;"HEAT","Регулируемый вид деятельности","Вид регулируемой деятельности")</f>
        <v>Вид регулируемой деятельности</v>
      </c>
      <c r="G8" s="1520"/>
      <c r="H8" s="2916" t="s">
        <v>432</v>
      </c>
      <c r="I8" s="2918" t="s">
        <v>433</v>
      </c>
      <c r="J8" s="2915" t="s">
        <v>434</v>
      </c>
      <c r="K8" s="2915"/>
      <c r="L8" s="2915"/>
      <c r="M8" s="2910"/>
      <c r="N8" s="2915" t="s">
        <v>435</v>
      </c>
      <c r="O8" s="2915"/>
      <c r="P8" s="2915" t="s">
        <v>436</v>
      </c>
      <c r="Q8" s="2915"/>
      <c r="R8" s="2922" t="s">
        <v>437</v>
      </c>
      <c r="S8" s="1516"/>
      <c r="T8" s="2920" t="s">
        <v>438</v>
      </c>
      <c r="U8" s="2920" t="s">
        <v>439</v>
      </c>
      <c r="V8" s="2920" t="s">
        <v>440</v>
      </c>
      <c r="W8" s="1518"/>
      <c r="X8" s="2920" t="s">
        <v>441</v>
      </c>
      <c r="Y8" s="2920" t="s">
        <v>442</v>
      </c>
      <c r="Z8" s="2920" t="s">
        <v>443</v>
      </c>
      <c r="AA8" s="1518"/>
      <c r="AB8" s="2920" t="s">
        <v>444</v>
      </c>
      <c r="AC8" s="2920" t="s">
        <v>437</v>
      </c>
      <c r="AD8" s="1518"/>
      <c r="AE8" s="2915"/>
      <c r="AF8" s="2915"/>
      <c r="AG8" s="2915"/>
      <c r="AH8" s="2915"/>
      <c r="AT8" s="1139">
        <v>26</v>
      </c>
    </row>
    <row customHeight="1" ht="46.199999999999996">
      <c r="C9" s="1142"/>
      <c r="D9" s="2819"/>
      <c r="E9" s="2915"/>
      <c r="F9" s="2915"/>
      <c r="G9" s="1521"/>
      <c r="H9" s="2917"/>
      <c r="I9" s="2919"/>
      <c r="J9" s="1117" t="s">
        <v>445</v>
      </c>
      <c r="K9" s="1117" t="s">
        <v>446</v>
      </c>
      <c r="L9" s="1117" t="s">
        <v>447</v>
      </c>
      <c r="M9" s="1123" t="s">
        <v>448</v>
      </c>
      <c r="N9" s="1117" t="s">
        <v>449</v>
      </c>
      <c r="O9" s="1117" t="s">
        <v>448</v>
      </c>
      <c r="P9" s="1117" t="s">
        <v>450</v>
      </c>
      <c r="Q9" s="1117" t="s">
        <v>448</v>
      </c>
      <c r="R9" s="2923"/>
      <c r="S9" s="1517"/>
      <c r="T9" s="2921"/>
      <c r="U9" s="2921"/>
      <c r="V9" s="2921"/>
      <c r="W9" s="1519"/>
      <c r="X9" s="2921"/>
      <c r="Y9" s="2921"/>
      <c r="Z9" s="2921"/>
      <c r="AA9" s="1519"/>
      <c r="AB9" s="2921"/>
      <c r="AC9" s="2921"/>
      <c r="AD9" s="1519"/>
      <c r="AE9" s="2915"/>
      <c r="AF9" s="2915"/>
      <c r="AG9" s="2915"/>
      <c r="AH9" s="2915"/>
      <c r="AT9" s="1139">
        <v>44</v>
      </c>
    </row>
    <row customHeight="1" ht="12" hidden="1">
      <c r="C10" s="1179"/>
      <c r="D10" s="1140"/>
      <c r="E10" s="1140"/>
      <c r="F10" s="1140"/>
      <c r="G10" s="1140"/>
      <c r="H10" s="1140"/>
      <c r="I10" s="1140"/>
      <c r="J10" s="1140"/>
      <c r="K10" s="1140"/>
      <c r="L10" s="1140"/>
      <c r="M10" s="1140"/>
      <c r="N10" s="1140"/>
      <c r="O10" s="1140"/>
      <c r="P10" s="1140"/>
      <c r="Q10" s="1140"/>
      <c r="R10" s="1140"/>
      <c r="S10" s="1140"/>
      <c r="T10" s="1140"/>
      <c r="U10" s="1140"/>
      <c r="V10" s="1140"/>
      <c r="W10" s="1140"/>
      <c r="X10" s="1140"/>
      <c r="Y10" s="1140"/>
      <c r="Z10" s="1140"/>
      <c r="AA10" s="1140"/>
      <c r="AB10" s="1140"/>
      <c r="AC10" s="1140"/>
      <c r="AD10" s="1140"/>
      <c r="AE10" s="1140"/>
      <c r="AF10" s="1140"/>
      <c r="AG10" s="1140"/>
      <c r="AH10" s="1140"/>
      <c r="AI10" s="1139"/>
      <c r="AP10" s="1192"/>
      <c r="AQ10" s="1192"/>
      <c r="AT10" s="1139">
        <v>0</v>
      </c>
    </row>
    <row s="61193" customFormat="1" customHeight="1" ht="11.25" hidden="1">
      <c r="C11" s="1190"/>
      <c r="D11" s="1191" t="s">
        <v>451</v>
      </c>
      <c r="E11" s="1191"/>
      <c r="F11" s="1191"/>
      <c r="G11" s="1191"/>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27"/>
      <c r="AF11" s="1127"/>
      <c r="AG11" s="1127"/>
      <c r="AH11" s="1127"/>
      <c r="AJ11" s="1181"/>
      <c r="AK11" s="1181"/>
      <c r="AL11" s="1181"/>
      <c r="AM11" s="1181"/>
      <c r="AN11" s="1181"/>
      <c r="AO11" s="1181"/>
      <c r="AP11" s="1181"/>
      <c r="AQ11" s="1181"/>
      <c r="AR11" s="1181"/>
      <c r="AS11" s="1181"/>
      <c r="AT11" s="1188">
        <v>0</v>
      </c>
    </row>
    <row customHeight="1" ht="14.699999999999998">
      <c r="A12" s="1139"/>
      <c r="C12" s="1142"/>
      <c r="D12" s="1126" t="s">
        <v>118</v>
      </c>
      <c r="E12" s="2469" t="s">
        <v>28</v>
      </c>
      <c r="F12" s="1547"/>
      <c r="G12" s="1548"/>
      <c r="H12" s="2470"/>
      <c r="I12" s="2470"/>
      <c r="J12" s="1125"/>
      <c r="K12" s="2555"/>
      <c r="L12" s="1124"/>
      <c r="M12" s="2555"/>
      <c r="N12" s="1125"/>
      <c r="O12" s="2555"/>
      <c r="P12" s="1125"/>
      <c r="Q12" s="2555"/>
      <c r="R12" s="1125"/>
      <c r="S12" s="1546"/>
      <c r="T12" s="2470"/>
      <c r="U12" s="1125"/>
      <c r="V12" s="1125"/>
      <c r="W12" s="1519"/>
      <c r="X12" s="2470"/>
      <c r="Y12" s="1125"/>
      <c r="Z12" s="1125"/>
      <c r="AA12" s="1519"/>
      <c r="AB12" s="2470"/>
      <c r="AC12" s="1125"/>
      <c r="AD12" s="1519"/>
      <c r="AE12" s="2913" t="s">
        <v>452</v>
      </c>
      <c r="AF12" s="2913" t="s">
        <v>453</v>
      </c>
      <c r="AG12" s="2913" t="s">
        <v>454</v>
      </c>
      <c r="AH12" s="2913" t="s">
        <v>455</v>
      </c>
      <c r="AI12" s="1139"/>
      <c r="AM12" s="1203"/>
      <c r="AP12" s="1192" t="s">
        <v>456</v>
      </c>
      <c r="AQ12" s="1192" t="s">
        <v>456</v>
      </c>
      <c r="AT12" s="1139">
        <v>14</v>
      </c>
    </row>
    <row customHeight="1" ht="18">
      <c r="A13" s="1139"/>
      <c r="C13" s="1142"/>
      <c r="D13" s="1097"/>
      <c r="E13" s="1561" t="str">
        <f>IF(TITLE_DIFFERENTIATION_TYPE="нет","","Добавить систему")</f>
        <v/>
      </c>
      <c r="F13" s="1561" t="str">
        <f>IF(TITLE_DIFFERENTIATION_TYPE="нет","Добавить вид деятельности","")</f>
        <v>Добавить вид деятельности</v>
      </c>
      <c r="G13" s="1005"/>
      <c r="H13" s="1098"/>
      <c r="I13" s="1098"/>
      <c r="J13" s="1098"/>
      <c r="K13" s="1098"/>
      <c r="L13" s="1098"/>
      <c r="M13" s="1098"/>
      <c r="N13" s="1098"/>
      <c r="O13" s="1098"/>
      <c r="P13" s="1098"/>
      <c r="Q13" s="1098"/>
      <c r="R13" s="1098"/>
      <c r="S13" s="1098"/>
      <c r="T13" s="1098"/>
      <c r="U13" s="1098"/>
      <c r="V13" s="1098"/>
      <c r="W13" s="1098"/>
      <c r="X13" s="1098"/>
      <c r="Y13" s="1098"/>
      <c r="Z13" s="1098"/>
      <c r="AA13" s="1098"/>
      <c r="AB13" s="1098"/>
      <c r="AC13" s="1098"/>
      <c r="AD13" s="1549"/>
      <c r="AE13" s="2914"/>
      <c r="AF13" s="2914"/>
      <c r="AG13" s="2914"/>
      <c r="AH13" s="2914"/>
      <c r="AI13" s="1139"/>
      <c r="AT13" s="1139">
        <v>17</v>
      </c>
    </row>
    <row customHeight="1" ht="14.699999999999998">
      <c r="AI14" s="1139"/>
      <c r="AT14" s="1139">
        <v>14</v>
      </c>
    </row>
    <row customHeight="1" ht="14.699999999999998">
      <c r="E15" s="1450"/>
      <c r="L15" s="1450"/>
      <c r="AT15" s="1139">
        <v>14</v>
      </c>
    </row>
    <row customHeight="1" ht="14.699999999999998">
      <c r="L16" s="1450"/>
      <c r="AT16" s="1139">
        <v>14</v>
      </c>
    </row>
    <row customHeight="1" ht="14.699999999999998">
      <c r="L17" s="1450"/>
      <c r="AT17" s="1139">
        <v>14</v>
      </c>
    </row>
    <row customHeight="1" ht="22.5" hidden="1">
      <c r="A18" s="1141" t="s">
        <v>83</v>
      </c>
      <c r="B18" s="1139">
        <v>0</v>
      </c>
      <c r="C18" s="1143">
        <v>3</v>
      </c>
      <c r="D18" s="1139">
        <v>5</v>
      </c>
      <c r="E18" s="1139">
        <v>48</v>
      </c>
      <c r="F18" s="1139">
        <v>38</v>
      </c>
      <c r="G18" s="1450">
        <v>0</v>
      </c>
      <c r="H18" s="1139">
        <v>0</v>
      </c>
      <c r="I18" s="1139">
        <v>0</v>
      </c>
      <c r="J18" s="1139">
        <v>0</v>
      </c>
      <c r="K18" s="1139">
        <v>0</v>
      </c>
      <c r="L18" s="1139">
        <v>0</v>
      </c>
      <c r="M18" s="1139">
        <v>0</v>
      </c>
      <c r="N18" s="1139">
        <v>0</v>
      </c>
      <c r="O18" s="1139">
        <v>0</v>
      </c>
      <c r="P18" s="1139">
        <v>0</v>
      </c>
      <c r="Q18" s="1139">
        <v>0</v>
      </c>
      <c r="R18" s="1139">
        <v>0</v>
      </c>
      <c r="S18" s="1450">
        <v>0</v>
      </c>
      <c r="T18" s="1197">
        <v>0</v>
      </c>
      <c r="U18" s="1197">
        <v>0</v>
      </c>
      <c r="V18" s="1197">
        <v>0</v>
      </c>
      <c r="W18" s="1450">
        <v>0</v>
      </c>
      <c r="X18" s="1197">
        <v>0</v>
      </c>
      <c r="Y18" s="1197">
        <v>0</v>
      </c>
      <c r="Z18" s="1197">
        <v>0</v>
      </c>
      <c r="AA18" s="1450">
        <v>0</v>
      </c>
      <c r="AB18" s="1197">
        <v>0</v>
      </c>
      <c r="AC18" s="1197">
        <v>0</v>
      </c>
      <c r="AD18" s="1450">
        <v>0</v>
      </c>
      <c r="AE18" s="1139">
        <v>0</v>
      </c>
      <c r="AF18" s="1197">
        <v>0</v>
      </c>
      <c r="AG18" s="1197">
        <v>0</v>
      </c>
      <c r="AH18" s="1197">
        <v>0</v>
      </c>
      <c r="AI18" s="1144">
        <v>3</v>
      </c>
      <c r="AJ18" s="1181">
        <v>10</v>
      </c>
      <c r="AK18" s="1181">
        <v>10</v>
      </c>
      <c r="AL18" s="1181">
        <v>10</v>
      </c>
      <c r="AM18" s="1181">
        <v>0</v>
      </c>
      <c r="AN18" s="1181">
        <v>15</v>
      </c>
      <c r="AO18" s="1181">
        <v>16</v>
      </c>
      <c r="AP18" s="1181">
        <v>10</v>
      </c>
      <c r="AQ18" s="1181">
        <v>10</v>
      </c>
      <c r="AR18" s="1181">
        <v>10</v>
      </c>
      <c r="AS18" s="1181">
        <v>10</v>
      </c>
      <c r="AT18" s="1139">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2C186F-3318-9E04-B0AF-E31D1063E7EF}"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63213" width="9.140625"/>
  </cols>
  <sheetData>
    <row customHeight="1" ht="11.25">
      <c r="A1" s="875" t="s">
        <v>138</v>
      </c>
      <c r="B1" s="875" t="s">
        <v>3520</v>
      </c>
    </row>
    <row customHeight="1" ht="11.25">
      <c r="A2" s="27815" t="s">
        <v>99</v>
      </c>
      <c r="B2" s="27815" t="s">
        <v>3521</v>
      </c>
    </row>
    <row customHeight="1" ht="11.25">
      <c r="A3" s="27815" t="s">
        <v>105</v>
      </c>
      <c r="B3" s="27815" t="s">
        <v>3522</v>
      </c>
    </row>
    <row customHeight="1" ht="11.25">
      <c r="A4" s="27815" t="s">
        <v>108</v>
      </c>
      <c r="B4" s="27815" t="s">
        <v>3523</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4C67A6-C70A-A11F-9C11-C466CC2A2A7C}"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63221" width="9.140625"/>
    <col min="2" max="2" style="63221" width="65.28125" customWidth="1"/>
  </cols>
  <sheetData>
    <row customHeight="1" ht="11.25">
      <c r="A1" s="1527" t="s">
        <v>3524</v>
      </c>
      <c r="B1" s="1527" t="s">
        <v>3525</v>
      </c>
    </row>
    <row customHeight="1" ht="11.25">
      <c r="A2" s="1527">
        <v>4213775</v>
      </c>
      <c r="B2" s="1527" t="s">
        <v>1296</v>
      </c>
    </row>
    <row customHeight="1" ht="11.25">
      <c r="A3" s="1527">
        <v>4213784</v>
      </c>
      <c r="B3" s="1527" t="s">
        <v>1327</v>
      </c>
    </row>
    <row customHeight="1" ht="11.25">
      <c r="A4" s="1527">
        <v>4213781</v>
      </c>
      <c r="B4" s="1527" t="s">
        <v>1320</v>
      </c>
    </row>
    <row customHeight="1" ht="11.25">
      <c r="A5" s="1527">
        <v>4213776</v>
      </c>
      <c r="B5" s="1527" t="s">
        <v>220</v>
      </c>
    </row>
    <row customHeight="1" ht="11.25">
      <c r="A6" s="1527">
        <v>4213777</v>
      </c>
      <c r="B6" s="1527" t="s">
        <v>238</v>
      </c>
    </row>
    <row customHeight="1" ht="11.25">
      <c r="A7" s="1527">
        <v>4213778</v>
      </c>
      <c r="B7" s="1527" t="s">
        <v>255</v>
      </c>
    </row>
    <row customHeight="1" ht="11.25">
      <c r="A8" s="1527">
        <v>4213780</v>
      </c>
      <c r="B8" s="1527" t="s">
        <v>261</v>
      </c>
    </row>
    <row customHeight="1" ht="11.25">
      <c r="A9" s="1527">
        <v>4213779</v>
      </c>
      <c r="B9" s="1527" t="s">
        <v>1461</v>
      </c>
    </row>
    <row customHeight="1" ht="11.25">
      <c r="A10" s="1527">
        <v>4213783</v>
      </c>
      <c r="B10" s="1527" t="s">
        <v>1476</v>
      </c>
    </row>
    <row customHeight="1" ht="11.25">
      <c r="A11" s="1527">
        <v>4213782</v>
      </c>
      <c r="B11" s="1527" t="s">
        <v>267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287119-04C5-7683-1F5E-15776A0F361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63221" width="9.140625"/>
    <col min="2" max="2" style="63221" width="65.28125" customWidth="1"/>
  </cols>
  <sheetData>
    <row customHeight="1" ht="11.25">
      <c r="A1" s="1527" t="s">
        <v>3524</v>
      </c>
      <c r="B1" s="1527" t="s">
        <v>3526</v>
      </c>
    </row>
    <row customHeight="1" ht="11.25">
      <c r="A2" s="1527" t="s">
        <v>3527</v>
      </c>
      <c r="B2" s="1527" t="s">
        <v>1574</v>
      </c>
    </row>
    <row customHeight="1" ht="11.25">
      <c r="A3" s="1527" t="s">
        <v>3528</v>
      </c>
      <c r="B3" s="1527" t="s">
        <v>1584</v>
      </c>
    </row>
    <row customHeight="1" ht="11.25">
      <c r="A4" s="1527" t="s">
        <v>3529</v>
      </c>
      <c r="B4" s="1527" t="s">
        <v>1593</v>
      </c>
    </row>
    <row customHeight="1" ht="11.25">
      <c r="A5" s="1527" t="s">
        <v>3530</v>
      </c>
      <c r="B5" s="1527" t="s">
        <v>1602</v>
      </c>
    </row>
    <row customHeight="1" ht="11.25">
      <c r="A6" s="1527" t="s">
        <v>3531</v>
      </c>
      <c r="B6" s="1527" t="s">
        <v>1608</v>
      </c>
    </row>
    <row customHeight="1" ht="11.25">
      <c r="A7" s="1527" t="s">
        <v>3532</v>
      </c>
      <c r="B7" s="1527" t="s">
        <v>1616</v>
      </c>
    </row>
    <row customHeight="1" ht="11.25">
      <c r="A8" s="1527" t="s">
        <v>3533</v>
      </c>
      <c r="B8" s="1527" t="s">
        <v>1623</v>
      </c>
    </row>
    <row customHeight="1" ht="11.25">
      <c r="A9" s="1527" t="s">
        <v>3534</v>
      </c>
      <c r="B9" s="1527" t="s">
        <v>1629</v>
      </c>
    </row>
    <row customHeight="1" ht="11.25">
      <c r="A10" s="1527" t="s">
        <v>3535</v>
      </c>
      <c r="B10" s="1527" t="s">
        <v>1633</v>
      </c>
    </row>
    <row customHeight="1" ht="11.25">
      <c r="A11" s="1527" t="s">
        <v>3536</v>
      </c>
      <c r="B11" s="1527" t="s">
        <v>1640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B8270F-1883-192D-F273-66E6C45B6571}" mc:Ignorable="x14ac xr xr2 xr3">
  <sheetPr>
    <tabColor rgb="FFFFCC99"/>
  </sheetPr>
  <dimension ref="A1:G107"/>
  <sheetViews>
    <sheetView topLeftCell="A1" showGridLines="0" workbookViewId="0">
      <selection activeCell="A1" sqref="A1"/>
    </sheetView>
  </sheetViews>
  <sheetFormatPr customHeight="1" defaultRowHeight="11.25"/>
  <sheetData>
    <row customHeight="1" ht="11.25">
      <c r="A1" s="1065" t="s">
        <v>3247</v>
      </c>
      <c r="B1" s="1065" t="s">
        <v>3248</v>
      </c>
      <c r="C1" s="1065" t="s">
        <v>3249</v>
      </c>
      <c r="D1" s="1065" t="s">
        <v>3250</v>
      </c>
      <c r="E1" s="0" t="s">
        <v>3251</v>
      </c>
      <c r="F1" s="0" t="s">
        <v>3252</v>
      </c>
      <c r="G1" s="0" t="s">
        <v>3253</v>
      </c>
    </row>
    <row customHeight="1" ht="11.25">
      <c r="A2" s="0" t="s">
        <v>16</v>
      </c>
      <c r="B2" s="0" t="s">
        <v>3254</v>
      </c>
      <c r="C2" s="0" t="s">
        <v>3255</v>
      </c>
      <c r="D2" s="0" t="s">
        <v>3254</v>
      </c>
      <c r="E2" s="0" t="s">
        <v>3255</v>
      </c>
      <c r="F2" s="0" t="s">
        <v>3256</v>
      </c>
      <c r="G2" s="0" t="s">
        <v>118</v>
      </c>
    </row>
    <row customHeight="1" ht="11.25">
      <c r="A3" s="0" t="s">
        <v>16</v>
      </c>
      <c r="B3" s="0" t="s">
        <v>3257</v>
      </c>
      <c r="C3" s="0" t="s">
        <v>3258</v>
      </c>
      <c r="D3" s="0" t="s">
        <v>3257</v>
      </c>
      <c r="E3" s="0" t="s">
        <v>3258</v>
      </c>
      <c r="F3" s="0" t="s">
        <v>3259</v>
      </c>
      <c r="G3" s="0" t="s">
        <v>103</v>
      </c>
    </row>
    <row customHeight="1" ht="11.25">
      <c r="A4" s="0" t="s">
        <v>16</v>
      </c>
      <c r="B4" s="0" t="s">
        <v>100</v>
      </c>
      <c r="C4" s="0" t="s">
        <v>101</v>
      </c>
      <c r="D4" s="0" t="s">
        <v>100</v>
      </c>
      <c r="E4" s="0" t="s">
        <v>101</v>
      </c>
      <c r="F4" s="0" t="s">
        <v>3259</v>
      </c>
      <c r="G4" s="0" t="s">
        <v>91</v>
      </c>
    </row>
    <row customHeight="1" ht="11.25">
      <c r="A5" s="0" t="s">
        <v>16</v>
      </c>
      <c r="B5" s="0" t="s">
        <v>106</v>
      </c>
      <c r="C5" s="0" t="s">
        <v>107</v>
      </c>
      <c r="D5" s="0" t="s">
        <v>106</v>
      </c>
      <c r="E5" s="0" t="s">
        <v>107</v>
      </c>
      <c r="F5" s="0" t="s">
        <v>3259</v>
      </c>
      <c r="G5" s="0" t="s">
        <v>92</v>
      </c>
    </row>
    <row customHeight="1" ht="11.25">
      <c r="A6" s="0" t="s">
        <v>16</v>
      </c>
      <c r="B6" s="0" t="s">
        <v>3260</v>
      </c>
      <c r="C6" s="0" t="s">
        <v>3261</v>
      </c>
      <c r="D6" s="0" t="s">
        <v>3260</v>
      </c>
      <c r="E6" s="0" t="s">
        <v>3261</v>
      </c>
      <c r="F6" s="0" t="s">
        <v>3259</v>
      </c>
      <c r="G6" s="0" t="s">
        <v>119</v>
      </c>
    </row>
    <row customHeight="1" ht="11.25">
      <c r="A7" s="0" t="s">
        <v>16</v>
      </c>
      <c r="B7" s="0" t="s">
        <v>3262</v>
      </c>
      <c r="C7" s="0" t="s">
        <v>3263</v>
      </c>
      <c r="D7" s="0" t="s">
        <v>3262</v>
      </c>
      <c r="E7" s="0" t="s">
        <v>3263</v>
      </c>
      <c r="F7" s="0" t="s">
        <v>3259</v>
      </c>
      <c r="G7" s="0" t="s">
        <v>93</v>
      </c>
    </row>
    <row customHeight="1" ht="11.25">
      <c r="A8" s="0" t="s">
        <v>16</v>
      </c>
      <c r="B8" s="0" t="s">
        <v>3264</v>
      </c>
      <c r="C8" s="0" t="s">
        <v>3265</v>
      </c>
      <c r="D8" s="0" t="s">
        <v>3264</v>
      </c>
      <c r="E8" s="0" t="s">
        <v>3265</v>
      </c>
      <c r="F8" s="0" t="s">
        <v>3259</v>
      </c>
      <c r="G8" s="0" t="s">
        <v>94</v>
      </c>
    </row>
    <row customHeight="1" ht="11.25">
      <c r="A9" s="0" t="s">
        <v>16</v>
      </c>
      <c r="B9" s="0" t="s">
        <v>3266</v>
      </c>
      <c r="C9" s="0" t="s">
        <v>3267</v>
      </c>
      <c r="D9" s="0" t="s">
        <v>3268</v>
      </c>
      <c r="E9" s="0" t="s">
        <v>3269</v>
      </c>
      <c r="F9" s="0" t="s">
        <v>3270</v>
      </c>
      <c r="G9" s="0" t="s">
        <v>120</v>
      </c>
    </row>
    <row customHeight="1" ht="11.25">
      <c r="A10" s="0" t="s">
        <v>16</v>
      </c>
      <c r="B10" s="0" t="s">
        <v>3266</v>
      </c>
      <c r="C10" s="0" t="s">
        <v>3267</v>
      </c>
      <c r="D10" s="0" t="s">
        <v>3266</v>
      </c>
      <c r="E10" s="0" t="s">
        <v>3267</v>
      </c>
      <c r="F10" s="0" t="s">
        <v>3271</v>
      </c>
      <c r="G10" s="0" t="s">
        <v>156</v>
      </c>
    </row>
    <row customHeight="1" ht="11.25">
      <c r="A11" s="0" t="s">
        <v>16</v>
      </c>
      <c r="B11" s="0" t="s">
        <v>3266</v>
      </c>
      <c r="C11" s="0" t="s">
        <v>3267</v>
      </c>
      <c r="D11" s="0" t="s">
        <v>3272</v>
      </c>
      <c r="E11" s="0" t="s">
        <v>3273</v>
      </c>
      <c r="F11" s="0" t="s">
        <v>3270</v>
      </c>
      <c r="G11" s="0" t="s">
        <v>157</v>
      </c>
    </row>
    <row customHeight="1" ht="11.25">
      <c r="A12" s="0" t="s">
        <v>16</v>
      </c>
      <c r="B12" s="0" t="s">
        <v>3266</v>
      </c>
      <c r="C12" s="0" t="s">
        <v>3267</v>
      </c>
      <c r="D12" s="0" t="s">
        <v>3274</v>
      </c>
      <c r="E12" s="0" t="s">
        <v>3275</v>
      </c>
      <c r="F12" s="0" t="s">
        <v>3276</v>
      </c>
      <c r="G12" s="0" t="s">
        <v>158</v>
      </c>
    </row>
    <row customHeight="1" ht="11.25">
      <c r="A13" s="0" t="s">
        <v>16</v>
      </c>
      <c r="B13" s="0" t="s">
        <v>3266</v>
      </c>
      <c r="C13" s="0" t="s">
        <v>3267</v>
      </c>
      <c r="D13" s="0" t="s">
        <v>3277</v>
      </c>
      <c r="E13" s="0" t="s">
        <v>3278</v>
      </c>
      <c r="F13" s="0" t="s">
        <v>3270</v>
      </c>
      <c r="G13" s="0" t="s">
        <v>159</v>
      </c>
    </row>
    <row customHeight="1" ht="11.25">
      <c r="A14" s="0" t="s">
        <v>16</v>
      </c>
      <c r="B14" s="0" t="s">
        <v>3266</v>
      </c>
      <c r="C14" s="0" t="s">
        <v>3267</v>
      </c>
      <c r="D14" s="0" t="s">
        <v>3279</v>
      </c>
      <c r="E14" s="0" t="s">
        <v>3280</v>
      </c>
      <c r="F14" s="0" t="s">
        <v>3270</v>
      </c>
      <c r="G14" s="0" t="s">
        <v>160</v>
      </c>
    </row>
    <row customHeight="1" ht="11.25">
      <c r="A15" s="0" t="s">
        <v>16</v>
      </c>
      <c r="B15" s="0" t="s">
        <v>3266</v>
      </c>
      <c r="C15" s="0" t="s">
        <v>3267</v>
      </c>
      <c r="D15" s="0" t="s">
        <v>3281</v>
      </c>
      <c r="E15" s="0" t="s">
        <v>3282</v>
      </c>
      <c r="F15" s="0" t="s">
        <v>3270</v>
      </c>
      <c r="G15" s="0" t="s">
        <v>161</v>
      </c>
    </row>
    <row customHeight="1" ht="11.25">
      <c r="A16" s="0" t="s">
        <v>16</v>
      </c>
      <c r="B16" s="0" t="s">
        <v>3266</v>
      </c>
      <c r="C16" s="0" t="s">
        <v>3267</v>
      </c>
      <c r="D16" s="0" t="s">
        <v>3283</v>
      </c>
      <c r="E16" s="0" t="s">
        <v>3284</v>
      </c>
      <c r="F16" s="0" t="s">
        <v>3270</v>
      </c>
      <c r="G16" s="0" t="s">
        <v>1536</v>
      </c>
    </row>
    <row customHeight="1" ht="11.25">
      <c r="A17" s="0" t="s">
        <v>16</v>
      </c>
      <c r="B17" s="0" t="s">
        <v>3285</v>
      </c>
      <c r="C17" s="0" t="s">
        <v>3286</v>
      </c>
      <c r="D17" s="0" t="s">
        <v>3285</v>
      </c>
      <c r="E17" s="0" t="s">
        <v>3286</v>
      </c>
      <c r="F17" s="0" t="s">
        <v>3256</v>
      </c>
      <c r="G17" s="0" t="s">
        <v>1542</v>
      </c>
    </row>
    <row customHeight="1" ht="11.25">
      <c r="A18" s="0" t="s">
        <v>16</v>
      </c>
      <c r="B18" s="0" t="s">
        <v>3287</v>
      </c>
      <c r="C18" s="0" t="s">
        <v>3288</v>
      </c>
      <c r="D18" s="0" t="s">
        <v>3289</v>
      </c>
      <c r="E18" s="0" t="s">
        <v>3290</v>
      </c>
      <c r="F18" s="0" t="s">
        <v>3270</v>
      </c>
      <c r="G18" s="0" t="s">
        <v>1554</v>
      </c>
    </row>
    <row customHeight="1" ht="11.25">
      <c r="A19" s="0" t="s">
        <v>16</v>
      </c>
      <c r="B19" s="0" t="s">
        <v>3287</v>
      </c>
      <c r="C19" s="0" t="s">
        <v>3288</v>
      </c>
      <c r="D19" s="0" t="s">
        <v>3291</v>
      </c>
      <c r="E19" s="0" t="s">
        <v>3292</v>
      </c>
      <c r="F19" s="0" t="s">
        <v>3293</v>
      </c>
      <c r="G19" s="0" t="s">
        <v>1568</v>
      </c>
    </row>
    <row customHeight="1" ht="11.25">
      <c r="A20" s="0" t="s">
        <v>16</v>
      </c>
      <c r="B20" s="0" t="s">
        <v>3287</v>
      </c>
      <c r="C20" s="0" t="s">
        <v>3288</v>
      </c>
      <c r="D20" s="0" t="s">
        <v>3287</v>
      </c>
      <c r="E20" s="0" t="s">
        <v>3288</v>
      </c>
      <c r="F20" s="0" t="s">
        <v>3271</v>
      </c>
      <c r="G20" s="0" t="s">
        <v>1580</v>
      </c>
    </row>
    <row customHeight="1" ht="11.25">
      <c r="A21" s="0" t="s">
        <v>16</v>
      </c>
      <c r="B21" s="0" t="s">
        <v>3287</v>
      </c>
      <c r="C21" s="0" t="s">
        <v>3288</v>
      </c>
      <c r="D21" s="0" t="s">
        <v>3294</v>
      </c>
      <c r="E21" s="0" t="s">
        <v>3295</v>
      </c>
      <c r="F21" s="0" t="s">
        <v>3293</v>
      </c>
      <c r="G21" s="0" t="s">
        <v>1589</v>
      </c>
    </row>
    <row customHeight="1" ht="11.25">
      <c r="A22" s="0" t="s">
        <v>16</v>
      </c>
      <c r="B22" s="0" t="s">
        <v>3287</v>
      </c>
      <c r="C22" s="0" t="s">
        <v>3288</v>
      </c>
      <c r="D22" s="0" t="s">
        <v>3296</v>
      </c>
      <c r="E22" s="0" t="s">
        <v>3297</v>
      </c>
      <c r="F22" s="0" t="s">
        <v>3270</v>
      </c>
      <c r="G22" s="0" t="s">
        <v>1605</v>
      </c>
    </row>
    <row customHeight="1" ht="11.25">
      <c r="A23" s="0" t="s">
        <v>16</v>
      </c>
      <c r="B23" s="0" t="s">
        <v>3287</v>
      </c>
      <c r="C23" s="0" t="s">
        <v>3288</v>
      </c>
      <c r="D23" s="0" t="s">
        <v>3298</v>
      </c>
      <c r="E23" s="0" t="s">
        <v>3299</v>
      </c>
      <c r="F23" s="0" t="s">
        <v>3276</v>
      </c>
      <c r="G23" s="0" t="s">
        <v>1612</v>
      </c>
    </row>
    <row customHeight="1" ht="11.25">
      <c r="A24" s="0" t="s">
        <v>16</v>
      </c>
      <c r="B24" s="0" t="s">
        <v>3287</v>
      </c>
      <c r="C24" s="0" t="s">
        <v>3288</v>
      </c>
      <c r="D24" s="0" t="s">
        <v>3300</v>
      </c>
      <c r="E24" s="0" t="s">
        <v>3301</v>
      </c>
      <c r="F24" s="0" t="s">
        <v>3270</v>
      </c>
      <c r="G24" s="0" t="s">
        <v>1620</v>
      </c>
    </row>
    <row customHeight="1" ht="11.25">
      <c r="A25" s="0" t="s">
        <v>16</v>
      </c>
      <c r="B25" s="0" t="s">
        <v>3287</v>
      </c>
      <c r="C25" s="0" t="s">
        <v>3288</v>
      </c>
      <c r="D25" s="0" t="s">
        <v>3302</v>
      </c>
      <c r="E25" s="0" t="s">
        <v>3303</v>
      </c>
      <c r="F25" s="0" t="s">
        <v>3270</v>
      </c>
      <c r="G25" s="0" t="s">
        <v>1627</v>
      </c>
    </row>
    <row customHeight="1" ht="11.25">
      <c r="A26" s="0" t="s">
        <v>16</v>
      </c>
      <c r="B26" s="0" t="s">
        <v>3304</v>
      </c>
      <c r="C26" s="0" t="s">
        <v>3305</v>
      </c>
      <c r="D26" s="0" t="s">
        <v>3304</v>
      </c>
      <c r="E26" s="0" t="s">
        <v>3305</v>
      </c>
      <c r="F26" s="0" t="s">
        <v>3256</v>
      </c>
      <c r="G26" s="0" t="s">
        <v>1631</v>
      </c>
    </row>
    <row customHeight="1" ht="11.25">
      <c r="A27" s="0" t="s">
        <v>16</v>
      </c>
      <c r="B27" s="0" t="s">
        <v>3306</v>
      </c>
      <c r="C27" s="0" t="s">
        <v>3307</v>
      </c>
      <c r="D27" s="0" t="s">
        <v>3308</v>
      </c>
      <c r="E27" s="0" t="s">
        <v>3309</v>
      </c>
      <c r="F27" s="0" t="s">
        <v>3293</v>
      </c>
      <c r="G27" s="0" t="s">
        <v>1636</v>
      </c>
    </row>
    <row customHeight="1" ht="11.25">
      <c r="A28" s="0" t="s">
        <v>16</v>
      </c>
      <c r="B28" s="0" t="s">
        <v>3306</v>
      </c>
      <c r="C28" s="0" t="s">
        <v>3307</v>
      </c>
      <c r="D28" s="0" t="s">
        <v>3310</v>
      </c>
      <c r="E28" s="0" t="s">
        <v>3311</v>
      </c>
      <c r="F28" s="0" t="s">
        <v>3270</v>
      </c>
      <c r="G28" s="0" t="s">
        <v>1644</v>
      </c>
    </row>
    <row customHeight="1" ht="11.25">
      <c r="A29" s="0" t="s">
        <v>16</v>
      </c>
      <c r="B29" s="0" t="s">
        <v>3306</v>
      </c>
      <c r="C29" s="0" t="s">
        <v>3307</v>
      </c>
      <c r="D29" s="0" t="s">
        <v>3312</v>
      </c>
      <c r="E29" s="0" t="s">
        <v>3313</v>
      </c>
      <c r="F29" s="0" t="s">
        <v>3270</v>
      </c>
      <c r="G29" s="0" t="s">
        <v>1646</v>
      </c>
    </row>
    <row customHeight="1" ht="11.25">
      <c r="A30" s="0" t="s">
        <v>16</v>
      </c>
      <c r="B30" s="0" t="s">
        <v>3306</v>
      </c>
      <c r="C30" s="0" t="s">
        <v>3307</v>
      </c>
      <c r="D30" s="0" t="s">
        <v>3314</v>
      </c>
      <c r="E30" s="0" t="s">
        <v>3315</v>
      </c>
      <c r="F30" s="0" t="s">
        <v>3270</v>
      </c>
      <c r="G30" s="0" t="s">
        <v>1649</v>
      </c>
    </row>
    <row customHeight="1" ht="11.25">
      <c r="A31" s="0" t="s">
        <v>16</v>
      </c>
      <c r="B31" s="0" t="s">
        <v>3306</v>
      </c>
      <c r="C31" s="0" t="s">
        <v>3307</v>
      </c>
      <c r="D31" s="0" t="s">
        <v>3316</v>
      </c>
      <c r="E31" s="0" t="s">
        <v>3317</v>
      </c>
      <c r="F31" s="0" t="s">
        <v>3270</v>
      </c>
      <c r="G31" s="0" t="s">
        <v>1655</v>
      </c>
    </row>
    <row customHeight="1" ht="11.25">
      <c r="A32" s="0" t="s">
        <v>16</v>
      </c>
      <c r="B32" s="0" t="s">
        <v>3306</v>
      </c>
      <c r="C32" s="0" t="s">
        <v>3307</v>
      </c>
      <c r="D32" s="0" t="s">
        <v>3306</v>
      </c>
      <c r="E32" s="0" t="s">
        <v>3307</v>
      </c>
      <c r="F32" s="0" t="s">
        <v>3271</v>
      </c>
      <c r="G32" s="0" t="s">
        <v>1657</v>
      </c>
    </row>
    <row customHeight="1" ht="11.25">
      <c r="A33" s="0" t="s">
        <v>16</v>
      </c>
      <c r="B33" s="0" t="s">
        <v>3306</v>
      </c>
      <c r="C33" s="0" t="s">
        <v>3307</v>
      </c>
      <c r="D33" s="0" t="s">
        <v>3318</v>
      </c>
      <c r="E33" s="0" t="s">
        <v>3319</v>
      </c>
      <c r="F33" s="0" t="s">
        <v>3270</v>
      </c>
      <c r="G33" s="0" t="s">
        <v>1659</v>
      </c>
    </row>
    <row customHeight="1" ht="11.25">
      <c r="A34" s="0" t="s">
        <v>16</v>
      </c>
      <c r="B34" s="0" t="s">
        <v>3306</v>
      </c>
      <c r="C34" s="0" t="s">
        <v>3307</v>
      </c>
      <c r="D34" s="0" t="s">
        <v>3320</v>
      </c>
      <c r="E34" s="0" t="s">
        <v>3321</v>
      </c>
      <c r="F34" s="0" t="s">
        <v>3270</v>
      </c>
      <c r="G34" s="0" t="s">
        <v>1661</v>
      </c>
    </row>
    <row customHeight="1" ht="11.25">
      <c r="A35" s="0" t="s">
        <v>16</v>
      </c>
      <c r="B35" s="0" t="s">
        <v>3306</v>
      </c>
      <c r="C35" s="0" t="s">
        <v>3307</v>
      </c>
      <c r="D35" s="0" t="s">
        <v>3322</v>
      </c>
      <c r="E35" s="0" t="s">
        <v>3323</v>
      </c>
      <c r="F35" s="0" t="s">
        <v>3270</v>
      </c>
      <c r="G35" s="0" t="s">
        <v>1666</v>
      </c>
    </row>
    <row customHeight="1" ht="11.25">
      <c r="A36" s="0" t="s">
        <v>16</v>
      </c>
      <c r="B36" s="0" t="s">
        <v>3306</v>
      </c>
      <c r="C36" s="0" t="s">
        <v>3307</v>
      </c>
      <c r="D36" s="0" t="s">
        <v>3324</v>
      </c>
      <c r="E36" s="0" t="s">
        <v>3325</v>
      </c>
      <c r="F36" s="0" t="s">
        <v>3270</v>
      </c>
      <c r="G36" s="0" t="s">
        <v>1671</v>
      </c>
    </row>
    <row customHeight="1" ht="11.25">
      <c r="A37" s="0" t="s">
        <v>16</v>
      </c>
      <c r="B37" s="0" t="s">
        <v>3306</v>
      </c>
      <c r="C37" s="0" t="s">
        <v>3307</v>
      </c>
      <c r="D37" s="0" t="s">
        <v>3326</v>
      </c>
      <c r="E37" s="0" t="s">
        <v>3327</v>
      </c>
      <c r="F37" s="0" t="s">
        <v>3270</v>
      </c>
      <c r="G37" s="0" t="s">
        <v>1675</v>
      </c>
    </row>
    <row customHeight="1" ht="11.25">
      <c r="A38" s="0" t="s">
        <v>16</v>
      </c>
      <c r="B38" s="0" t="s">
        <v>3328</v>
      </c>
      <c r="C38" s="0" t="s">
        <v>3329</v>
      </c>
      <c r="D38" s="0" t="s">
        <v>3328</v>
      </c>
      <c r="E38" s="0" t="s">
        <v>3329</v>
      </c>
      <c r="F38" s="0" t="s">
        <v>3256</v>
      </c>
      <c r="G38" s="0" t="s">
        <v>1683</v>
      </c>
    </row>
    <row customHeight="1" ht="11.25">
      <c r="A39" s="0" t="s">
        <v>16</v>
      </c>
      <c r="B39" s="0" t="s">
        <v>3330</v>
      </c>
      <c r="C39" s="0" t="s">
        <v>3331</v>
      </c>
      <c r="D39" s="0" t="s">
        <v>3330</v>
      </c>
      <c r="E39" s="0" t="s">
        <v>3331</v>
      </c>
      <c r="F39" s="0" t="s">
        <v>3259</v>
      </c>
      <c r="G39" s="0" t="s">
        <v>1689</v>
      </c>
    </row>
    <row customHeight="1" ht="11.25">
      <c r="A40" s="0" t="s">
        <v>16</v>
      </c>
      <c r="B40" s="0" t="s">
        <v>3332</v>
      </c>
      <c r="C40" s="0" t="s">
        <v>3333</v>
      </c>
      <c r="D40" s="0" t="s">
        <v>3334</v>
      </c>
      <c r="E40" s="0" t="s">
        <v>3335</v>
      </c>
      <c r="F40" s="0" t="s">
        <v>3270</v>
      </c>
      <c r="G40" s="0" t="s">
        <v>1694</v>
      </c>
    </row>
    <row customHeight="1" ht="11.25">
      <c r="A41" s="0" t="s">
        <v>16</v>
      </c>
      <c r="B41" s="0" t="s">
        <v>3332</v>
      </c>
      <c r="C41" s="0" t="s">
        <v>3333</v>
      </c>
      <c r="D41" s="0" t="s">
        <v>3336</v>
      </c>
      <c r="E41" s="0" t="s">
        <v>3337</v>
      </c>
      <c r="F41" s="0" t="s">
        <v>3270</v>
      </c>
      <c r="G41" s="0" t="s">
        <v>1698</v>
      </c>
    </row>
    <row customHeight="1" ht="11.25">
      <c r="A42" s="0" t="s">
        <v>16</v>
      </c>
      <c r="B42" s="0" t="s">
        <v>3332</v>
      </c>
      <c r="C42" s="0" t="s">
        <v>3333</v>
      </c>
      <c r="D42" s="0" t="s">
        <v>3338</v>
      </c>
      <c r="E42" s="0" t="s">
        <v>3339</v>
      </c>
      <c r="F42" s="0" t="s">
        <v>3270</v>
      </c>
      <c r="G42" s="0" t="s">
        <v>1701</v>
      </c>
    </row>
    <row customHeight="1" ht="11.25">
      <c r="A43" s="0" t="s">
        <v>16</v>
      </c>
      <c r="B43" s="0" t="s">
        <v>3332</v>
      </c>
      <c r="C43" s="0" t="s">
        <v>3333</v>
      </c>
      <c r="D43" s="0" t="s">
        <v>3332</v>
      </c>
      <c r="E43" s="0" t="s">
        <v>3333</v>
      </c>
      <c r="F43" s="0" t="s">
        <v>3271</v>
      </c>
      <c r="G43" s="0" t="s">
        <v>1708</v>
      </c>
    </row>
    <row customHeight="1" ht="11.25">
      <c r="A44" s="0" t="s">
        <v>16</v>
      </c>
      <c r="B44" s="0" t="s">
        <v>3332</v>
      </c>
      <c r="C44" s="0" t="s">
        <v>3333</v>
      </c>
      <c r="D44" s="0" t="s">
        <v>3340</v>
      </c>
      <c r="E44" s="0" t="s">
        <v>3341</v>
      </c>
      <c r="F44" s="0" t="s">
        <v>3270</v>
      </c>
      <c r="G44" s="0" t="s">
        <v>1717</v>
      </c>
    </row>
    <row customHeight="1" ht="11.25">
      <c r="A45" s="0" t="s">
        <v>16</v>
      </c>
      <c r="B45" s="0" t="s">
        <v>3332</v>
      </c>
      <c r="C45" s="0" t="s">
        <v>3333</v>
      </c>
      <c r="D45" s="0" t="s">
        <v>3342</v>
      </c>
      <c r="E45" s="0" t="s">
        <v>3343</v>
      </c>
      <c r="F45" s="0" t="s">
        <v>3293</v>
      </c>
      <c r="G45" s="0" t="s">
        <v>1722</v>
      </c>
    </row>
    <row customHeight="1" ht="11.25">
      <c r="A46" s="0" t="s">
        <v>16</v>
      </c>
      <c r="B46" s="0" t="s">
        <v>3332</v>
      </c>
      <c r="C46" s="0" t="s">
        <v>3333</v>
      </c>
      <c r="D46" s="0" t="s">
        <v>3344</v>
      </c>
      <c r="E46" s="0" t="s">
        <v>3345</v>
      </c>
      <c r="F46" s="0" t="s">
        <v>3270</v>
      </c>
      <c r="G46" s="0" t="s">
        <v>1726</v>
      </c>
    </row>
    <row customHeight="1" ht="11.25">
      <c r="A47" s="0" t="s">
        <v>16</v>
      </c>
      <c r="B47" s="0" t="s">
        <v>3332</v>
      </c>
      <c r="C47" s="0" t="s">
        <v>3333</v>
      </c>
      <c r="D47" s="0" t="s">
        <v>3346</v>
      </c>
      <c r="E47" s="0" t="s">
        <v>3347</v>
      </c>
      <c r="F47" s="0" t="s">
        <v>3270</v>
      </c>
      <c r="G47" s="0" t="s">
        <v>1732</v>
      </c>
    </row>
    <row customHeight="1" ht="11.25">
      <c r="A48" s="0" t="s">
        <v>16</v>
      </c>
      <c r="B48" s="0" t="s">
        <v>3348</v>
      </c>
      <c r="C48" s="0" t="s">
        <v>3349</v>
      </c>
      <c r="D48" s="0" t="s">
        <v>3348</v>
      </c>
      <c r="E48" s="0" t="s">
        <v>3349</v>
      </c>
      <c r="F48" s="0" t="s">
        <v>3271</v>
      </c>
      <c r="G48" s="0" t="s">
        <v>1736</v>
      </c>
    </row>
    <row customHeight="1" ht="11.25">
      <c r="A49" s="0" t="s">
        <v>16</v>
      </c>
      <c r="B49" s="0" t="s">
        <v>3348</v>
      </c>
      <c r="C49" s="0" t="s">
        <v>3349</v>
      </c>
      <c r="D49" s="0" t="s">
        <v>3350</v>
      </c>
      <c r="E49" s="0" t="s">
        <v>3351</v>
      </c>
      <c r="F49" s="0" t="s">
        <v>3270</v>
      </c>
      <c r="G49" s="0" t="s">
        <v>1739</v>
      </c>
    </row>
    <row customHeight="1" ht="11.25">
      <c r="A50" s="0" t="s">
        <v>16</v>
      </c>
      <c r="B50" s="0" t="s">
        <v>3348</v>
      </c>
      <c r="C50" s="0" t="s">
        <v>3349</v>
      </c>
      <c r="D50" s="0" t="s">
        <v>3352</v>
      </c>
      <c r="E50" s="0" t="s">
        <v>3353</v>
      </c>
      <c r="F50" s="0" t="s">
        <v>3270</v>
      </c>
      <c r="G50" s="0" t="s">
        <v>1742</v>
      </c>
    </row>
    <row customHeight="1" ht="11.25">
      <c r="A51" s="0" t="s">
        <v>16</v>
      </c>
      <c r="B51" s="0" t="s">
        <v>3348</v>
      </c>
      <c r="C51" s="0" t="s">
        <v>3349</v>
      </c>
      <c r="D51" s="0" t="s">
        <v>3354</v>
      </c>
      <c r="E51" s="0" t="s">
        <v>3355</v>
      </c>
      <c r="F51" s="0" t="s">
        <v>3270</v>
      </c>
      <c r="G51" s="0" t="s">
        <v>1747</v>
      </c>
    </row>
    <row customHeight="1" ht="11.25">
      <c r="A52" s="0" t="s">
        <v>16</v>
      </c>
      <c r="B52" s="0" t="s">
        <v>3356</v>
      </c>
      <c r="C52" s="0" t="s">
        <v>3357</v>
      </c>
      <c r="D52" s="0" t="s">
        <v>3356</v>
      </c>
      <c r="E52" s="0" t="s">
        <v>3357</v>
      </c>
      <c r="F52" s="0" t="s">
        <v>3259</v>
      </c>
      <c r="G52" s="0" t="s">
        <v>1751</v>
      </c>
    </row>
    <row customHeight="1" ht="11.25">
      <c r="A53" s="0" t="s">
        <v>16</v>
      </c>
      <c r="B53" s="0" t="s">
        <v>3358</v>
      </c>
      <c r="C53" s="0" t="s">
        <v>3359</v>
      </c>
      <c r="D53" s="0" t="s">
        <v>3358</v>
      </c>
      <c r="E53" s="0" t="s">
        <v>3359</v>
      </c>
      <c r="F53" s="0" t="s">
        <v>3256</v>
      </c>
      <c r="G53" s="0" t="s">
        <v>1753</v>
      </c>
    </row>
    <row customHeight="1" ht="11.25">
      <c r="A54" s="0" t="s">
        <v>16</v>
      </c>
      <c r="B54" s="0" t="s">
        <v>3360</v>
      </c>
      <c r="C54" s="0" t="s">
        <v>3361</v>
      </c>
      <c r="D54" s="0" t="s">
        <v>3360</v>
      </c>
      <c r="E54" s="0" t="s">
        <v>3361</v>
      </c>
      <c r="F54" s="0" t="s">
        <v>3256</v>
      </c>
      <c r="G54" s="0" t="s">
        <v>1756</v>
      </c>
    </row>
    <row customHeight="1" ht="11.25">
      <c r="A55" s="0" t="s">
        <v>16</v>
      </c>
      <c r="B55" s="0" t="s">
        <v>110</v>
      </c>
      <c r="C55" s="0" t="s">
        <v>111</v>
      </c>
      <c r="D55" s="0" t="s">
        <v>110</v>
      </c>
      <c r="E55" s="0" t="s">
        <v>111</v>
      </c>
      <c r="F55" s="0" t="s">
        <v>3259</v>
      </c>
      <c r="G55" s="0" t="s">
        <v>109</v>
      </c>
    </row>
    <row customHeight="1" ht="11.25">
      <c r="A56" s="0" t="s">
        <v>16</v>
      </c>
      <c r="B56" s="0" t="s">
        <v>3362</v>
      </c>
      <c r="C56" s="0" t="s">
        <v>3363</v>
      </c>
      <c r="D56" s="0" t="s">
        <v>3362</v>
      </c>
      <c r="E56" s="0" t="s">
        <v>3363</v>
      </c>
      <c r="F56" s="0" t="s">
        <v>3256</v>
      </c>
      <c r="G56" s="0" t="s">
        <v>1763</v>
      </c>
    </row>
    <row customHeight="1" ht="11.25">
      <c r="A57" s="0" t="s">
        <v>16</v>
      </c>
      <c r="B57" s="0" t="s">
        <v>3364</v>
      </c>
      <c r="C57" s="0" t="s">
        <v>3365</v>
      </c>
      <c r="D57" s="0" t="s">
        <v>3366</v>
      </c>
      <c r="E57" s="0" t="s">
        <v>3367</v>
      </c>
      <c r="F57" s="0" t="s">
        <v>3270</v>
      </c>
      <c r="G57" s="0" t="s">
        <v>1766</v>
      </c>
    </row>
    <row customHeight="1" ht="11.25">
      <c r="A58" s="0" t="s">
        <v>16</v>
      </c>
      <c r="B58" s="0" t="s">
        <v>3364</v>
      </c>
      <c r="C58" s="0" t="s">
        <v>3365</v>
      </c>
      <c r="D58" s="0" t="s">
        <v>3368</v>
      </c>
      <c r="E58" s="0" t="s">
        <v>3369</v>
      </c>
      <c r="F58" s="0" t="s">
        <v>3270</v>
      </c>
      <c r="G58" s="0" t="s">
        <v>1769</v>
      </c>
    </row>
    <row customHeight="1" ht="11.25">
      <c r="A59" s="0" t="s">
        <v>16</v>
      </c>
      <c r="B59" s="0" t="s">
        <v>3364</v>
      </c>
      <c r="C59" s="0" t="s">
        <v>3365</v>
      </c>
      <c r="D59" s="0" t="s">
        <v>3370</v>
      </c>
      <c r="E59" s="0" t="s">
        <v>3371</v>
      </c>
      <c r="F59" s="0" t="s">
        <v>3270</v>
      </c>
      <c r="G59" s="0" t="s">
        <v>1773</v>
      </c>
    </row>
    <row customHeight="1" ht="11.25">
      <c r="A60" s="0" t="s">
        <v>16</v>
      </c>
      <c r="B60" s="0" t="s">
        <v>3364</v>
      </c>
      <c r="C60" s="0" t="s">
        <v>3365</v>
      </c>
      <c r="D60" s="0" t="s">
        <v>3372</v>
      </c>
      <c r="E60" s="0" t="s">
        <v>3373</v>
      </c>
      <c r="F60" s="0" t="s">
        <v>3276</v>
      </c>
      <c r="G60" s="0" t="s">
        <v>1777</v>
      </c>
    </row>
    <row customHeight="1" ht="11.25">
      <c r="A61" s="0" t="s">
        <v>16</v>
      </c>
      <c r="B61" s="0" t="s">
        <v>3364</v>
      </c>
      <c r="C61" s="0" t="s">
        <v>3365</v>
      </c>
      <c r="D61" s="0" t="s">
        <v>3374</v>
      </c>
      <c r="E61" s="0" t="s">
        <v>3375</v>
      </c>
      <c r="F61" s="0" t="s">
        <v>3270</v>
      </c>
      <c r="G61" s="0" t="s">
        <v>3376</v>
      </c>
    </row>
    <row customHeight="1" ht="11.25">
      <c r="A62" s="0" t="s">
        <v>16</v>
      </c>
      <c r="B62" s="0" t="s">
        <v>3364</v>
      </c>
      <c r="C62" s="0" t="s">
        <v>3365</v>
      </c>
      <c r="D62" s="0" t="s">
        <v>3377</v>
      </c>
      <c r="E62" s="0" t="s">
        <v>3378</v>
      </c>
      <c r="F62" s="0" t="s">
        <v>3270</v>
      </c>
      <c r="G62" s="0" t="s">
        <v>3379</v>
      </c>
    </row>
    <row customHeight="1" ht="11.25">
      <c r="A63" s="0" t="s">
        <v>16</v>
      </c>
      <c r="B63" s="0" t="s">
        <v>3364</v>
      </c>
      <c r="C63" s="0" t="s">
        <v>3365</v>
      </c>
      <c r="D63" s="0" t="s">
        <v>3364</v>
      </c>
      <c r="E63" s="0" t="s">
        <v>3365</v>
      </c>
      <c r="F63" s="0" t="s">
        <v>3271</v>
      </c>
      <c r="G63" s="0" t="s">
        <v>3380</v>
      </c>
    </row>
    <row customHeight="1" ht="11.25">
      <c r="A64" s="0" t="s">
        <v>16</v>
      </c>
      <c r="B64" s="0" t="s">
        <v>3364</v>
      </c>
      <c r="C64" s="0" t="s">
        <v>3365</v>
      </c>
      <c r="D64" s="0" t="s">
        <v>3381</v>
      </c>
      <c r="E64" s="0" t="s">
        <v>3382</v>
      </c>
      <c r="F64" s="0" t="s">
        <v>3270</v>
      </c>
      <c r="G64" s="0" t="s">
        <v>3383</v>
      </c>
    </row>
    <row customHeight="1" ht="11.25">
      <c r="A65" s="0" t="s">
        <v>16</v>
      </c>
      <c r="B65" s="0" t="s">
        <v>3384</v>
      </c>
      <c r="C65" s="0" t="s">
        <v>3385</v>
      </c>
      <c r="D65" s="0" t="s">
        <v>3384</v>
      </c>
      <c r="E65" s="0" t="s">
        <v>3385</v>
      </c>
      <c r="F65" s="0" t="s">
        <v>3256</v>
      </c>
      <c r="G65" s="0" t="s">
        <v>3386</v>
      </c>
    </row>
    <row customHeight="1" ht="11.25">
      <c r="A66" s="0" t="s">
        <v>16</v>
      </c>
      <c r="B66" s="0" t="s">
        <v>3387</v>
      </c>
      <c r="C66" s="0" t="s">
        <v>3388</v>
      </c>
      <c r="D66" s="0" t="s">
        <v>3387</v>
      </c>
      <c r="E66" s="0" t="s">
        <v>3388</v>
      </c>
      <c r="F66" s="0" t="s">
        <v>3256</v>
      </c>
      <c r="G66" s="0" t="s">
        <v>3389</v>
      </c>
    </row>
    <row customHeight="1" ht="11.25">
      <c r="A67" s="0" t="s">
        <v>16</v>
      </c>
      <c r="B67" s="0" t="s">
        <v>3390</v>
      </c>
      <c r="C67" s="0" t="s">
        <v>3391</v>
      </c>
      <c r="D67" s="0" t="s">
        <v>3392</v>
      </c>
      <c r="E67" s="0" t="s">
        <v>3393</v>
      </c>
      <c r="F67" s="0" t="s">
        <v>3270</v>
      </c>
      <c r="G67" s="0" t="s">
        <v>2097</v>
      </c>
    </row>
    <row customHeight="1" ht="11.25">
      <c r="A68" s="0" t="s">
        <v>16</v>
      </c>
      <c r="B68" s="0" t="s">
        <v>3390</v>
      </c>
      <c r="C68" s="0" t="s">
        <v>3391</v>
      </c>
      <c r="D68" s="0" t="s">
        <v>3394</v>
      </c>
      <c r="E68" s="0" t="s">
        <v>3395</v>
      </c>
      <c r="F68" s="0" t="s">
        <v>3270</v>
      </c>
      <c r="G68" s="0" t="s">
        <v>3396</v>
      </c>
    </row>
    <row customHeight="1" ht="11.25">
      <c r="A69" s="0" t="s">
        <v>16</v>
      </c>
      <c r="B69" s="0" t="s">
        <v>3390</v>
      </c>
      <c r="C69" s="0" t="s">
        <v>3391</v>
      </c>
      <c r="D69" s="0" t="s">
        <v>3397</v>
      </c>
      <c r="E69" s="0" t="s">
        <v>3398</v>
      </c>
      <c r="F69" s="0" t="s">
        <v>3270</v>
      </c>
      <c r="G69" s="0" t="s">
        <v>2300</v>
      </c>
    </row>
    <row customHeight="1" ht="11.25">
      <c r="A70" s="0" t="s">
        <v>16</v>
      </c>
      <c r="B70" s="0" t="s">
        <v>3390</v>
      </c>
      <c r="C70" s="0" t="s">
        <v>3391</v>
      </c>
      <c r="D70" s="0" t="s">
        <v>3399</v>
      </c>
      <c r="E70" s="0" t="s">
        <v>3400</v>
      </c>
      <c r="F70" s="0" t="s">
        <v>3270</v>
      </c>
      <c r="G70" s="0" t="s">
        <v>3401</v>
      </c>
    </row>
    <row customHeight="1" ht="11.25">
      <c r="A71" s="0" t="s">
        <v>16</v>
      </c>
      <c r="B71" s="0" t="s">
        <v>3390</v>
      </c>
      <c r="C71" s="0" t="s">
        <v>3391</v>
      </c>
      <c r="D71" s="0" t="s">
        <v>3402</v>
      </c>
      <c r="E71" s="0" t="s">
        <v>3403</v>
      </c>
      <c r="F71" s="0" t="s">
        <v>3270</v>
      </c>
      <c r="G71" s="0" t="s">
        <v>3404</v>
      </c>
    </row>
    <row customHeight="1" ht="11.25">
      <c r="A72" s="0" t="s">
        <v>16</v>
      </c>
      <c r="B72" s="0" t="s">
        <v>3390</v>
      </c>
      <c r="C72" s="0" t="s">
        <v>3391</v>
      </c>
      <c r="D72" s="0" t="s">
        <v>3390</v>
      </c>
      <c r="E72" s="0" t="s">
        <v>3391</v>
      </c>
      <c r="F72" s="0" t="s">
        <v>3271</v>
      </c>
      <c r="G72" s="0" t="s">
        <v>3405</v>
      </c>
    </row>
    <row customHeight="1" ht="11.25">
      <c r="A73" s="0" t="s">
        <v>16</v>
      </c>
      <c r="B73" s="0" t="s">
        <v>3390</v>
      </c>
      <c r="C73" s="0" t="s">
        <v>3391</v>
      </c>
      <c r="D73" s="0" t="s">
        <v>3406</v>
      </c>
      <c r="E73" s="0" t="s">
        <v>3407</v>
      </c>
      <c r="F73" s="0" t="s">
        <v>3270</v>
      </c>
      <c r="G73" s="0" t="s">
        <v>3408</v>
      </c>
    </row>
    <row customHeight="1" ht="11.25">
      <c r="A74" s="0" t="s">
        <v>16</v>
      </c>
      <c r="B74" s="0" t="s">
        <v>3390</v>
      </c>
      <c r="C74" s="0" t="s">
        <v>3391</v>
      </c>
      <c r="D74" s="0" t="s">
        <v>3409</v>
      </c>
      <c r="E74" s="0" t="s">
        <v>3410</v>
      </c>
      <c r="F74" s="0" t="s">
        <v>3270</v>
      </c>
      <c r="G74" s="0" t="s">
        <v>3411</v>
      </c>
    </row>
    <row customHeight="1" ht="11.25">
      <c r="A75" s="0" t="s">
        <v>16</v>
      </c>
      <c r="B75" s="0" t="s">
        <v>3390</v>
      </c>
      <c r="C75" s="0" t="s">
        <v>3391</v>
      </c>
      <c r="D75" s="0" t="s">
        <v>3412</v>
      </c>
      <c r="E75" s="0" t="s">
        <v>3413</v>
      </c>
      <c r="F75" s="0" t="s">
        <v>3270</v>
      </c>
      <c r="G75" s="0" t="s">
        <v>3414</v>
      </c>
    </row>
    <row customHeight="1" ht="11.25">
      <c r="A76" s="0" t="s">
        <v>16</v>
      </c>
      <c r="B76" s="0" t="s">
        <v>3415</v>
      </c>
      <c r="C76" s="0" t="s">
        <v>3416</v>
      </c>
      <c r="D76" s="0" t="s">
        <v>3415</v>
      </c>
      <c r="E76" s="0" t="s">
        <v>3416</v>
      </c>
      <c r="F76" s="0" t="s">
        <v>3256</v>
      </c>
      <c r="G76" s="0" t="s">
        <v>3417</v>
      </c>
    </row>
    <row customHeight="1" ht="11.25">
      <c r="A77" s="0" t="s">
        <v>16</v>
      </c>
      <c r="B77" s="0" t="s">
        <v>3418</v>
      </c>
      <c r="C77" s="0" t="s">
        <v>3419</v>
      </c>
      <c r="D77" s="0" t="s">
        <v>3418</v>
      </c>
      <c r="E77" s="0" t="s">
        <v>3419</v>
      </c>
      <c r="F77" s="0" t="s">
        <v>3259</v>
      </c>
      <c r="G77" s="0" t="s">
        <v>3420</v>
      </c>
    </row>
    <row customHeight="1" ht="11.25">
      <c r="A78" s="0" t="s">
        <v>16</v>
      </c>
      <c r="B78" s="0" t="s">
        <v>3421</v>
      </c>
      <c r="C78" s="0" t="s">
        <v>3422</v>
      </c>
      <c r="D78" s="0" t="s">
        <v>3421</v>
      </c>
      <c r="E78" s="0" t="s">
        <v>3422</v>
      </c>
      <c r="F78" s="0" t="s">
        <v>3256</v>
      </c>
      <c r="G78" s="0" t="s">
        <v>3423</v>
      </c>
    </row>
    <row customHeight="1" ht="11.25">
      <c r="A79" s="0" t="s">
        <v>16</v>
      </c>
      <c r="B79" s="0" t="s">
        <v>3424</v>
      </c>
      <c r="C79" s="0" t="s">
        <v>3425</v>
      </c>
      <c r="D79" s="0" t="s">
        <v>3424</v>
      </c>
      <c r="E79" s="0" t="s">
        <v>3425</v>
      </c>
      <c r="F79" s="0" t="s">
        <v>3256</v>
      </c>
      <c r="G79" s="0" t="s">
        <v>3426</v>
      </c>
    </row>
    <row customHeight="1" ht="11.25">
      <c r="A80" s="0" t="s">
        <v>16</v>
      </c>
      <c r="B80" s="0" t="s">
        <v>3427</v>
      </c>
      <c r="C80" s="0" t="s">
        <v>3428</v>
      </c>
      <c r="D80" s="0" t="s">
        <v>3427</v>
      </c>
      <c r="E80" s="0" t="s">
        <v>3428</v>
      </c>
      <c r="F80" s="0" t="s">
        <v>3256</v>
      </c>
      <c r="G80" s="0" t="s">
        <v>3429</v>
      </c>
    </row>
    <row customHeight="1" ht="11.25">
      <c r="A81" s="0" t="s">
        <v>16</v>
      </c>
      <c r="B81" s="0" t="s">
        <v>3430</v>
      </c>
      <c r="C81" s="0" t="s">
        <v>3431</v>
      </c>
      <c r="D81" s="0" t="s">
        <v>3430</v>
      </c>
      <c r="E81" s="0" t="s">
        <v>3431</v>
      </c>
      <c r="F81" s="0" t="s">
        <v>3256</v>
      </c>
      <c r="G81" s="0" t="s">
        <v>3432</v>
      </c>
    </row>
    <row customHeight="1" ht="11.25">
      <c r="A82" s="0" t="s">
        <v>16</v>
      </c>
      <c r="B82" s="0" t="s">
        <v>3433</v>
      </c>
      <c r="C82" s="0" t="s">
        <v>3434</v>
      </c>
      <c r="D82" s="0" t="s">
        <v>3435</v>
      </c>
      <c r="E82" s="0" t="s">
        <v>3436</v>
      </c>
      <c r="F82" s="0" t="s">
        <v>3270</v>
      </c>
      <c r="G82" s="0" t="s">
        <v>3437</v>
      </c>
    </row>
    <row customHeight="1" ht="11.25">
      <c r="A83" s="0" t="s">
        <v>16</v>
      </c>
      <c r="B83" s="0" t="s">
        <v>3433</v>
      </c>
      <c r="C83" s="0" t="s">
        <v>3434</v>
      </c>
      <c r="D83" s="0" t="s">
        <v>3438</v>
      </c>
      <c r="E83" s="0" t="s">
        <v>3439</v>
      </c>
      <c r="F83" s="0" t="s">
        <v>3276</v>
      </c>
      <c r="G83" s="0" t="s">
        <v>3440</v>
      </c>
    </row>
    <row customHeight="1" ht="11.25">
      <c r="A84" s="0" t="s">
        <v>16</v>
      </c>
      <c r="B84" s="0" t="s">
        <v>3433</v>
      </c>
      <c r="C84" s="0" t="s">
        <v>3434</v>
      </c>
      <c r="D84" s="0" t="s">
        <v>3441</v>
      </c>
      <c r="E84" s="0" t="s">
        <v>3442</v>
      </c>
      <c r="F84" s="0" t="s">
        <v>3270</v>
      </c>
      <c r="G84" s="0" t="s">
        <v>3443</v>
      </c>
    </row>
    <row customHeight="1" ht="11.25">
      <c r="A85" s="0" t="s">
        <v>16</v>
      </c>
      <c r="B85" s="0" t="s">
        <v>3433</v>
      </c>
      <c r="C85" s="0" t="s">
        <v>3434</v>
      </c>
      <c r="D85" s="0" t="s">
        <v>3444</v>
      </c>
      <c r="E85" s="0" t="s">
        <v>3445</v>
      </c>
      <c r="F85" s="0" t="s">
        <v>3293</v>
      </c>
      <c r="G85" s="0" t="s">
        <v>3446</v>
      </c>
    </row>
    <row customHeight="1" ht="11.25">
      <c r="A86" s="0" t="s">
        <v>16</v>
      </c>
      <c r="B86" s="0" t="s">
        <v>3433</v>
      </c>
      <c r="C86" s="0" t="s">
        <v>3434</v>
      </c>
      <c r="D86" s="0" t="s">
        <v>3447</v>
      </c>
      <c r="E86" s="0" t="s">
        <v>3448</v>
      </c>
      <c r="F86" s="0" t="s">
        <v>3270</v>
      </c>
      <c r="G86" s="0" t="s">
        <v>3449</v>
      </c>
    </row>
    <row customHeight="1" ht="11.25">
      <c r="A87" s="0" t="s">
        <v>16</v>
      </c>
      <c r="B87" s="0" t="s">
        <v>3433</v>
      </c>
      <c r="C87" s="0" t="s">
        <v>3434</v>
      </c>
      <c r="D87" s="0" t="s">
        <v>3433</v>
      </c>
      <c r="E87" s="0" t="s">
        <v>3434</v>
      </c>
      <c r="F87" s="0" t="s">
        <v>3271</v>
      </c>
      <c r="G87" s="0" t="s">
        <v>3450</v>
      </c>
    </row>
    <row customHeight="1" ht="11.25">
      <c r="A88" s="0" t="s">
        <v>16</v>
      </c>
      <c r="B88" s="0" t="s">
        <v>3433</v>
      </c>
      <c r="C88" s="0" t="s">
        <v>3434</v>
      </c>
      <c r="D88" s="0" t="s">
        <v>3451</v>
      </c>
      <c r="E88" s="0" t="s">
        <v>3452</v>
      </c>
      <c r="F88" s="0" t="s">
        <v>3270</v>
      </c>
      <c r="G88" s="0" t="s">
        <v>3453</v>
      </c>
    </row>
    <row customHeight="1" ht="11.25">
      <c r="A89" s="0" t="s">
        <v>16</v>
      </c>
      <c r="B89" s="0" t="s">
        <v>3454</v>
      </c>
      <c r="C89" s="0" t="s">
        <v>3455</v>
      </c>
      <c r="D89" s="0" t="s">
        <v>3454</v>
      </c>
      <c r="E89" s="0" t="s">
        <v>3455</v>
      </c>
      <c r="F89" s="0" t="s">
        <v>3256</v>
      </c>
      <c r="G89" s="0" t="s">
        <v>3456</v>
      </c>
    </row>
    <row customHeight="1" ht="11.25">
      <c r="A90" s="0" t="s">
        <v>16</v>
      </c>
      <c r="B90" s="0" t="s">
        <v>3457</v>
      </c>
      <c r="C90" s="0" t="s">
        <v>3458</v>
      </c>
      <c r="D90" s="0" t="s">
        <v>3457</v>
      </c>
      <c r="E90" s="0" t="s">
        <v>3458</v>
      </c>
      <c r="F90" s="0" t="s">
        <v>3256</v>
      </c>
      <c r="G90" s="0" t="s">
        <v>3459</v>
      </c>
    </row>
    <row customHeight="1" ht="11.25">
      <c r="A91" s="0" t="s">
        <v>16</v>
      </c>
      <c r="B91" s="0" t="s">
        <v>3460</v>
      </c>
      <c r="C91" s="0" t="s">
        <v>3461</v>
      </c>
      <c r="D91" s="0" t="s">
        <v>3462</v>
      </c>
      <c r="E91" s="0" t="s">
        <v>3463</v>
      </c>
      <c r="F91" s="0" t="s">
        <v>3270</v>
      </c>
      <c r="G91" s="0" t="s">
        <v>3464</v>
      </c>
    </row>
    <row customHeight="1" ht="11.25">
      <c r="A92" s="0" t="s">
        <v>16</v>
      </c>
      <c r="B92" s="0" t="s">
        <v>3460</v>
      </c>
      <c r="C92" s="0" t="s">
        <v>3461</v>
      </c>
      <c r="D92" s="0" t="s">
        <v>3465</v>
      </c>
      <c r="E92" s="0" t="s">
        <v>3466</v>
      </c>
      <c r="F92" s="0" t="s">
        <v>3270</v>
      </c>
      <c r="G92" s="0" t="s">
        <v>3467</v>
      </c>
    </row>
    <row customHeight="1" ht="11.25">
      <c r="A93" s="0" t="s">
        <v>16</v>
      </c>
      <c r="B93" s="0" t="s">
        <v>3460</v>
      </c>
      <c r="C93" s="0" t="s">
        <v>3461</v>
      </c>
      <c r="D93" s="0" t="s">
        <v>3468</v>
      </c>
      <c r="E93" s="0" t="s">
        <v>3469</v>
      </c>
      <c r="F93" s="0" t="s">
        <v>3270</v>
      </c>
      <c r="G93" s="0" t="s">
        <v>3470</v>
      </c>
    </row>
    <row customHeight="1" ht="11.25">
      <c r="A94" s="0" t="s">
        <v>16</v>
      </c>
      <c r="B94" s="0" t="s">
        <v>3460</v>
      </c>
      <c r="C94" s="0" t="s">
        <v>3461</v>
      </c>
      <c r="D94" s="0" t="s">
        <v>3471</v>
      </c>
      <c r="E94" s="0" t="s">
        <v>3472</v>
      </c>
      <c r="F94" s="0" t="s">
        <v>3293</v>
      </c>
      <c r="G94" s="0" t="s">
        <v>3473</v>
      </c>
    </row>
    <row customHeight="1" ht="11.25">
      <c r="A95" s="0" t="s">
        <v>16</v>
      </c>
      <c r="B95" s="0" t="s">
        <v>3460</v>
      </c>
      <c r="C95" s="0" t="s">
        <v>3461</v>
      </c>
      <c r="D95" s="0" t="s">
        <v>3474</v>
      </c>
      <c r="E95" s="0" t="s">
        <v>3475</v>
      </c>
      <c r="F95" s="0" t="s">
        <v>3270</v>
      </c>
      <c r="G95" s="0" t="s">
        <v>3476</v>
      </c>
    </row>
    <row customHeight="1" ht="11.25">
      <c r="A96" s="0" t="s">
        <v>16</v>
      </c>
      <c r="B96" s="0" t="s">
        <v>3460</v>
      </c>
      <c r="C96" s="0" t="s">
        <v>3461</v>
      </c>
      <c r="D96" s="0" t="s">
        <v>3460</v>
      </c>
      <c r="E96" s="0" t="s">
        <v>3461</v>
      </c>
      <c r="F96" s="0" t="s">
        <v>3271</v>
      </c>
      <c r="G96" s="0" t="s">
        <v>3477</v>
      </c>
    </row>
    <row customHeight="1" ht="11.25">
      <c r="A97" s="0" t="s">
        <v>16</v>
      </c>
      <c r="B97" s="0" t="s">
        <v>3460</v>
      </c>
      <c r="C97" s="0" t="s">
        <v>3461</v>
      </c>
      <c r="D97" s="0" t="s">
        <v>3478</v>
      </c>
      <c r="E97" s="0" t="s">
        <v>3479</v>
      </c>
      <c r="F97" s="0" t="s">
        <v>3293</v>
      </c>
      <c r="G97" s="0" t="s">
        <v>3480</v>
      </c>
    </row>
    <row customHeight="1" ht="11.25">
      <c r="A98" s="0" t="s">
        <v>16</v>
      </c>
      <c r="B98" s="0" t="s">
        <v>3460</v>
      </c>
      <c r="C98" s="0" t="s">
        <v>3461</v>
      </c>
      <c r="D98" s="0" t="s">
        <v>3481</v>
      </c>
      <c r="E98" s="0" t="s">
        <v>3482</v>
      </c>
      <c r="F98" s="0" t="s">
        <v>3270</v>
      </c>
      <c r="G98" s="0" t="s">
        <v>3483</v>
      </c>
    </row>
    <row customHeight="1" ht="11.25">
      <c r="A99" s="0" t="s">
        <v>16</v>
      </c>
      <c r="B99" s="0" t="s">
        <v>3484</v>
      </c>
      <c r="C99" s="0" t="s">
        <v>3485</v>
      </c>
      <c r="D99" s="0" t="s">
        <v>3484</v>
      </c>
      <c r="E99" s="0" t="s">
        <v>3485</v>
      </c>
      <c r="F99" s="0" t="s">
        <v>3256</v>
      </c>
      <c r="G99" s="0" t="s">
        <v>3486</v>
      </c>
    </row>
    <row customHeight="1" ht="11.25">
      <c r="A100" s="0" t="s">
        <v>16</v>
      </c>
      <c r="B100" s="0" t="s">
        <v>3487</v>
      </c>
      <c r="C100" s="0" t="s">
        <v>3488</v>
      </c>
      <c r="D100" s="0" t="s">
        <v>3489</v>
      </c>
      <c r="E100" s="0" t="s">
        <v>3490</v>
      </c>
      <c r="F100" s="0" t="s">
        <v>3270</v>
      </c>
      <c r="G100" s="0" t="s">
        <v>3491</v>
      </c>
    </row>
    <row customHeight="1" ht="11.25">
      <c r="A101" s="0" t="s">
        <v>16</v>
      </c>
      <c r="B101" s="0" t="s">
        <v>3487</v>
      </c>
      <c r="C101" s="0" t="s">
        <v>3488</v>
      </c>
      <c r="D101" s="0" t="s">
        <v>3492</v>
      </c>
      <c r="E101" s="0" t="s">
        <v>3493</v>
      </c>
      <c r="F101" s="0" t="s">
        <v>3270</v>
      </c>
      <c r="G101" s="0" t="s">
        <v>3494</v>
      </c>
    </row>
    <row customHeight="1" ht="11.25">
      <c r="A102" s="0" t="s">
        <v>16</v>
      </c>
      <c r="B102" s="0" t="s">
        <v>3487</v>
      </c>
      <c r="C102" s="0" t="s">
        <v>3488</v>
      </c>
      <c r="D102" s="0" t="s">
        <v>3495</v>
      </c>
      <c r="E102" s="0" t="s">
        <v>3496</v>
      </c>
      <c r="F102" s="0" t="s">
        <v>3270</v>
      </c>
      <c r="G102" s="0" t="s">
        <v>3497</v>
      </c>
    </row>
    <row customHeight="1" ht="11.25">
      <c r="A103" s="0" t="s">
        <v>16</v>
      </c>
      <c r="B103" s="0" t="s">
        <v>3487</v>
      </c>
      <c r="C103" s="0" t="s">
        <v>3488</v>
      </c>
      <c r="D103" s="0" t="s">
        <v>3498</v>
      </c>
      <c r="E103" s="0" t="s">
        <v>3499</v>
      </c>
      <c r="F103" s="0" t="s">
        <v>3270</v>
      </c>
      <c r="G103" s="0" t="s">
        <v>3500</v>
      </c>
    </row>
    <row customHeight="1" ht="11.25">
      <c r="A104" s="0" t="s">
        <v>16</v>
      </c>
      <c r="B104" s="0" t="s">
        <v>3487</v>
      </c>
      <c r="C104" s="0" t="s">
        <v>3488</v>
      </c>
      <c r="D104" s="0" t="s">
        <v>3487</v>
      </c>
      <c r="E104" s="0" t="s">
        <v>3488</v>
      </c>
      <c r="F104" s="0" t="s">
        <v>3271</v>
      </c>
      <c r="G104" s="0" t="s">
        <v>3501</v>
      </c>
    </row>
    <row customHeight="1" ht="11.25">
      <c r="A105" s="0" t="s">
        <v>16</v>
      </c>
      <c r="B105" s="0" t="s">
        <v>3487</v>
      </c>
      <c r="C105" s="0" t="s">
        <v>3488</v>
      </c>
      <c r="D105" s="0" t="s">
        <v>3502</v>
      </c>
      <c r="E105" s="0" t="s">
        <v>3503</v>
      </c>
      <c r="F105" s="0" t="s">
        <v>3270</v>
      </c>
      <c r="G105" s="0" t="s">
        <v>3504</v>
      </c>
    </row>
    <row customHeight="1" ht="11.25">
      <c r="A106" s="0" t="s">
        <v>16</v>
      </c>
      <c r="B106" s="0" t="s">
        <v>3505</v>
      </c>
      <c r="C106" s="0" t="s">
        <v>3506</v>
      </c>
      <c r="D106" s="0" t="s">
        <v>3505</v>
      </c>
      <c r="E106" s="0" t="s">
        <v>3506</v>
      </c>
      <c r="F106" s="0" t="s">
        <v>3259</v>
      </c>
      <c r="G106" s="0" t="s">
        <v>3507</v>
      </c>
    </row>
    <row customHeight="1" ht="11.25">
      <c r="A107" s="0" t="s">
        <v>16</v>
      </c>
      <c r="B107" s="0" t="s">
        <v>3508</v>
      </c>
      <c r="C107" s="0" t="s">
        <v>3509</v>
      </c>
      <c r="D107" s="0" t="s">
        <v>3508</v>
      </c>
      <c r="E107" s="0" t="s">
        <v>3509</v>
      </c>
      <c r="F107" s="0" t="s">
        <v>3259</v>
      </c>
      <c r="G107" s="0" t="s">
        <v>3510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AE9C9B-13B3-EC63-46AE-4ED40FEA243B}"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63221" width="9.140625"/>
    <col min="2" max="2" style="63221" width="84.28125" customWidth="1"/>
    <col min="3" max="3" style="63221" width="9.140625"/>
  </cols>
  <sheetData>
    <row customHeight="1" ht="11.25">
      <c r="A1" s="1527" t="s">
        <v>3537</v>
      </c>
      <c r="B1" s="1527" t="s">
        <v>3538</v>
      </c>
      <c r="C1" s="1527" t="s">
        <v>1242</v>
      </c>
    </row>
    <row customHeight="1" ht="11.25">
      <c r="A2" s="1527">
        <v>4189678</v>
      </c>
      <c r="B2" s="1527" t="s">
        <v>3539</v>
      </c>
      <c r="C2" s="1527" t="s">
        <v>3540</v>
      </c>
    </row>
    <row customHeight="1" ht="11.25">
      <c r="A3" s="1527">
        <v>4190415</v>
      </c>
      <c r="B3" s="1527" t="s">
        <v>3541</v>
      </c>
      <c r="C3" s="1527" t="s">
        <v>3540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478445-4D1F-1A2A-6246-DD340861722A}"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63215" width="38.421875" customWidth="1"/>
    <col min="2" max="5" style="63215" width="9.140625"/>
  </cols>
  <sheetData>
    <row customHeight="1" ht="15">
      <c r="A1" s="855" t="s">
        <v>3542</v>
      </c>
      <c r="B1" s="855" t="s">
        <v>3543</v>
      </c>
      <c r="C1" s="855"/>
      <c r="D1" s="855"/>
      <c r="E1" s="855"/>
    </row>
    <row customHeight="1" ht="15">
      <c r="A2" s="855"/>
      <c r="B2" s="855"/>
      <c r="C2" s="855"/>
      <c r="D2" s="855"/>
      <c r="E2" s="855"/>
    </row>
    <row customHeight="1" ht="15">
      <c r="A3" s="855"/>
      <c r="B3" s="855"/>
      <c r="C3" s="855"/>
      <c r="D3" s="855"/>
      <c r="E3" s="855"/>
    </row>
    <row customHeight="1" ht="15">
      <c r="A4" s="855"/>
      <c r="B4" s="855"/>
      <c r="C4" s="855"/>
      <c r="D4" s="855"/>
      <c r="E4" s="855"/>
    </row>
    <row customHeight="1" ht="15">
      <c r="A5" s="855"/>
      <c r="B5" s="855"/>
      <c r="C5" s="855"/>
      <c r="D5" s="855"/>
      <c r="E5" s="855"/>
    </row>
    <row customHeight="1" ht="15">
      <c r="A6" s="855"/>
      <c r="B6" s="855"/>
      <c r="C6" s="855"/>
      <c r="D6" s="855"/>
      <c r="E6" s="855"/>
    </row>
    <row customHeight="1" ht="15">
      <c r="A7" s="855"/>
      <c r="B7" s="855"/>
      <c r="C7" s="855"/>
      <c r="D7" s="855"/>
      <c r="E7" s="855"/>
    </row>
    <row customHeight="1" ht="15">
      <c r="A8" s="855"/>
      <c r="B8" s="855"/>
      <c r="C8" s="855"/>
      <c r="D8" s="855"/>
      <c r="E8" s="855"/>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0CB444-5508-F668-FA97-050AA669EE7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3544</v>
      </c>
      <c r="B1" s="0" t="b">
        <v>1</v>
      </c>
    </row>
    <row customHeight="1" ht="11.25">
      <c r="A2" s="0" t="s">
        <v>3545</v>
      </c>
      <c r="B2" s="0" t="b">
        <v>0</v>
      </c>
    </row>
    <row customHeight="1" ht="11.25">
      <c r="A3" s="0" t="s">
        <v>3546</v>
      </c>
      <c r="B3" s="0" t="b">
        <v>1</v>
      </c>
    </row>
    <row customHeight="1" ht="11.25">
      <c r="A4" s="0" t="s">
        <v>3547</v>
      </c>
      <c r="B4" s="0" t="b">
        <v>0</v>
      </c>
    </row>
    <row customHeight="1" ht="11.25">
      <c r="A5" s="0" t="s">
        <v>3548</v>
      </c>
      <c r="B5" s="0" t="b">
        <v>0</v>
      </c>
    </row>
    <row customHeight="1" ht="11.25">
      <c r="A6" s="0" t="s">
        <v>3549</v>
      </c>
      <c r="B6" s="0" t="b">
        <v>0</v>
      </c>
    </row>
    <row customHeight="1" ht="11.25">
      <c r="A7" s="0" t="s">
        <v>3550</v>
      </c>
      <c r="B7" s="0" t="b">
        <v>0</v>
      </c>
    </row>
    <row customHeight="1" ht="11.25">
      <c r="A8" s="0" t="s">
        <v>3551</v>
      </c>
      <c r="B8" s="0" t="b">
        <v>0</v>
      </c>
    </row>
    <row customHeight="1" ht="11.25">
      <c r="A9" s="0" t="s">
        <v>3552</v>
      </c>
      <c r="B9" s="0" t="b">
        <v>0</v>
      </c>
    </row>
    <row customHeight="1" ht="11.25">
      <c r="A10" s="0" t="s">
        <v>3553</v>
      </c>
      <c r="B10" s="0" t="b">
        <v>0</v>
      </c>
    </row>
    <row customHeight="1" ht="11.25">
      <c r="A11" s="0" t="s">
        <v>3554</v>
      </c>
      <c r="B11" s="0" t="b">
        <v>0</v>
      </c>
    </row>
    <row customHeight="1" ht="11.25">
      <c r="A12" s="0" t="s">
        <v>3555</v>
      </c>
      <c r="B12" s="0" t="b">
        <v>0</v>
      </c>
    </row>
    <row customHeight="1" ht="11.25">
      <c r="A13" s="0" t="s">
        <v>3556</v>
      </c>
      <c r="B13" s="0" t="b">
        <v>0</v>
      </c>
    </row>
    <row customHeight="1" ht="11.25">
      <c r="A14" s="0" t="s">
        <v>3557</v>
      </c>
      <c r="B14" s="0" t="b">
        <v>1</v>
      </c>
    </row>
    <row customHeight="1" ht="11.25">
      <c r="A15" s="0" t="s">
        <v>3558</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25D15E-9EE6-63D1-9155-59BC62099753}"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63216" width="9.140625"/>
  </cols>
  <sheetData>
    <row customHeight="1" ht="12.75">
      <c r="A1" s="755"/>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B14442-8028-E31E-74CB-574B4C512B99}"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63225" width="36.28125" customWidth="1"/>
    <col min="2" max="2" style="63225" width="21.140625" customWidth="1"/>
  </cols>
  <sheetData>
    <row customHeight="1" ht="11.25">
      <c r="A1" s="759" t="s">
        <v>3559</v>
      </c>
      <c r="B1" s="759" t="s">
        <v>3560</v>
      </c>
    </row>
    <row customHeight="1" ht="11.25">
      <c r="A2" s="754" t="s">
        <v>3561</v>
      </c>
      <c r="B2" s="754" t="s">
        <v>3562</v>
      </c>
    </row>
    <row customHeight="1" ht="11.25">
      <c r="A3" s="754" t="s">
        <v>3563</v>
      </c>
      <c r="B3" s="754" t="s">
        <v>3564</v>
      </c>
    </row>
    <row customHeight="1" ht="11.25">
      <c r="A4" s="754" t="s">
        <v>3565</v>
      </c>
      <c r="B4" s="754" t="s">
        <v>3566</v>
      </c>
    </row>
    <row customHeight="1" ht="11.25">
      <c r="A5" s="754" t="s">
        <v>3567</v>
      </c>
      <c r="B5" s="754" t="s">
        <v>3568</v>
      </c>
    </row>
    <row customHeight="1" ht="11.25">
      <c r="A6" s="754" t="s">
        <v>3569</v>
      </c>
      <c r="B6" s="754" t="s">
        <v>3570</v>
      </c>
    </row>
    <row customHeight="1" ht="11.25">
      <c r="A7" s="754" t="s">
        <v>3571</v>
      </c>
      <c r="B7" s="754" t="s">
        <v>3572</v>
      </c>
    </row>
    <row customHeight="1" ht="11.25">
      <c r="A8" s="754" t="s">
        <v>3573</v>
      </c>
      <c r="B8" s="754" t="s">
        <v>3574</v>
      </c>
    </row>
    <row customHeight="1" ht="11.25">
      <c r="A9" s="754" t="s">
        <v>3575</v>
      </c>
      <c r="B9" s="754" t="s">
        <v>3576</v>
      </c>
    </row>
    <row customHeight="1" ht="11.25">
      <c r="A10" s="754" t="s">
        <v>3577</v>
      </c>
      <c r="B10" s="754" t="s">
        <v>3578</v>
      </c>
    </row>
    <row customHeight="1" ht="11.25">
      <c r="A11" s="754" t="s">
        <v>3579</v>
      </c>
      <c r="B11" s="754" t="s">
        <v>3580</v>
      </c>
    </row>
    <row customHeight="1" ht="11.25">
      <c r="A12" s="754" t="s">
        <v>3581</v>
      </c>
      <c r="B12" s="754" t="s">
        <v>3582</v>
      </c>
    </row>
    <row customHeight="1" ht="11.25">
      <c r="A13" s="754" t="s">
        <v>3583</v>
      </c>
      <c r="B13" s="754" t="s">
        <v>3584</v>
      </c>
    </row>
    <row customHeight="1" ht="11.25">
      <c r="A14" s="754" t="s">
        <v>3585</v>
      </c>
      <c r="B14" s="754" t="s">
        <v>3586</v>
      </c>
    </row>
    <row customHeight="1" ht="11.25">
      <c r="A15" s="754" t="s">
        <v>3587</v>
      </c>
      <c r="B15" s="754" t="s">
        <v>3588</v>
      </c>
    </row>
    <row customHeight="1" ht="11.25">
      <c r="A16" s="754" t="s">
        <v>3589</v>
      </c>
      <c r="B16" s="754" t="s">
        <v>3590</v>
      </c>
    </row>
    <row customHeight="1" ht="11.25">
      <c r="A17" s="754" t="s">
        <v>3591</v>
      </c>
      <c r="B17" s="754" t="s">
        <v>3592</v>
      </c>
    </row>
    <row customHeight="1" ht="11.25">
      <c r="A18" s="754" t="s">
        <v>3593</v>
      </c>
      <c r="B18" s="754" t="s">
        <v>3594</v>
      </c>
    </row>
    <row customHeight="1" ht="11.25">
      <c r="A19" s="754" t="s">
        <v>3595</v>
      </c>
      <c r="B19" s="754" t="s">
        <v>3596</v>
      </c>
    </row>
    <row customHeight="1" ht="11.25">
      <c r="A20" s="754" t="s">
        <v>3597</v>
      </c>
      <c r="B20" s="754" t="s">
        <v>3598</v>
      </c>
    </row>
    <row customHeight="1" ht="11.25">
      <c r="A21" s="754" t="s">
        <v>3599</v>
      </c>
      <c r="B21" s="754" t="s">
        <v>3600</v>
      </c>
    </row>
    <row customHeight="1" ht="11.25">
      <c r="A22" s="754" t="s">
        <v>3601</v>
      </c>
      <c r="B22" s="754" t="s">
        <v>3602</v>
      </c>
    </row>
    <row customHeight="1" ht="11.25">
      <c r="A23" s="754" t="s">
        <v>3603</v>
      </c>
      <c r="B23" s="754" t="s">
        <v>3604</v>
      </c>
    </row>
    <row customHeight="1" ht="11.25">
      <c r="A24" s="754" t="s">
        <v>3605</v>
      </c>
      <c r="B24" s="754" t="s">
        <v>3606</v>
      </c>
    </row>
    <row customHeight="1" ht="11.25">
      <c r="A25" s="754" t="s">
        <v>3607</v>
      </c>
      <c r="B25" s="754" t="s">
        <v>3608</v>
      </c>
    </row>
    <row customHeight="1" ht="11.25">
      <c r="A26" s="754" t="s">
        <v>3609</v>
      </c>
      <c r="B26" s="754" t="s">
        <v>3610</v>
      </c>
    </row>
    <row customHeight="1" ht="11.25">
      <c r="A27" s="754" t="s">
        <v>3611</v>
      </c>
      <c r="B27" s="754" t="s">
        <v>3612</v>
      </c>
    </row>
    <row customHeight="1" ht="11.25">
      <c r="A28" s="754" t="s">
        <v>3613</v>
      </c>
      <c r="B28" s="754" t="s">
        <v>3614</v>
      </c>
    </row>
    <row customHeight="1" ht="11.25">
      <c r="A29" s="754" t="s">
        <v>3615</v>
      </c>
      <c r="B29" s="754" t="s">
        <v>3616</v>
      </c>
    </row>
    <row customHeight="1" ht="11.25">
      <c r="A30" s="754" t="s">
        <v>3617</v>
      </c>
      <c r="B30" s="754" t="s">
        <v>3618</v>
      </c>
    </row>
    <row customHeight="1" ht="11.25">
      <c r="A31" s="754" t="s">
        <v>3619</v>
      </c>
      <c r="B31" s="754" t="s">
        <v>3620</v>
      </c>
    </row>
    <row customHeight="1" ht="11.25">
      <c r="A32" s="754" t="s">
        <v>3621</v>
      </c>
      <c r="B32" s="754" t="s">
        <v>3622</v>
      </c>
    </row>
    <row customHeight="1" ht="11.25">
      <c r="A33" s="754" t="s">
        <v>3623</v>
      </c>
      <c r="B33" s="754" t="s">
        <v>3624</v>
      </c>
    </row>
    <row customHeight="1" ht="11.25">
      <c r="A34" s="754" t="s">
        <v>3625</v>
      </c>
      <c r="B34" s="754" t="s">
        <v>3626</v>
      </c>
    </row>
    <row customHeight="1" ht="11.25">
      <c r="A35" s="754" t="s">
        <v>3627</v>
      </c>
      <c r="B35" s="754" t="s">
        <v>3628</v>
      </c>
    </row>
    <row customHeight="1" ht="11.25">
      <c r="A36" s="754" t="s">
        <v>3629</v>
      </c>
      <c r="B36" s="754" t="s">
        <v>3630</v>
      </c>
    </row>
    <row customHeight="1" ht="11.25">
      <c r="A37" s="754" t="s">
        <v>3631</v>
      </c>
      <c r="B37" s="754" t="s">
        <v>3632</v>
      </c>
    </row>
    <row customHeight="1" ht="11.25">
      <c r="A38" s="754" t="s">
        <v>3633</v>
      </c>
      <c r="B38" s="754" t="s">
        <v>3634</v>
      </c>
    </row>
    <row customHeight="1" ht="11.25">
      <c r="A39" s="754" t="s">
        <v>3635</v>
      </c>
      <c r="B39" s="754" t="s">
        <v>3636</v>
      </c>
    </row>
    <row customHeight="1" ht="11.25">
      <c r="A40" s="754" t="s">
        <v>3637</v>
      </c>
      <c r="B40" s="754" t="s">
        <v>3638</v>
      </c>
    </row>
    <row customHeight="1" ht="11.25">
      <c r="A41" s="754" t="s">
        <v>3639</v>
      </c>
      <c r="B41" s="754" t="s">
        <v>3640</v>
      </c>
    </row>
    <row customHeight="1" ht="11.25">
      <c r="A42" s="754" t="s">
        <v>3641</v>
      </c>
      <c r="B42" s="754" t="s">
        <v>3642</v>
      </c>
    </row>
    <row customHeight="1" ht="11.25">
      <c r="A43" s="754" t="s">
        <v>3643</v>
      </c>
      <c r="B43" s="754" t="s">
        <v>3644</v>
      </c>
    </row>
    <row customHeight="1" ht="11.25">
      <c r="A44" s="754" t="s">
        <v>3645</v>
      </c>
      <c r="B44" s="754" t="s">
        <v>3646</v>
      </c>
    </row>
    <row customHeight="1" ht="11.25">
      <c r="A45" s="754" t="s">
        <v>3647</v>
      </c>
      <c r="B45" s="754" t="s">
        <v>3648</v>
      </c>
    </row>
    <row customHeight="1" ht="11.25">
      <c r="A46" s="754" t="s">
        <v>3649</v>
      </c>
      <c r="B46" s="754" t="s">
        <v>3650</v>
      </c>
    </row>
    <row customHeight="1" ht="11.25">
      <c r="A47" s="754" t="s">
        <v>3651</v>
      </c>
      <c r="B47" s="754" t="s">
        <v>3652</v>
      </c>
    </row>
    <row customHeight="1" ht="11.25">
      <c r="A48" s="754" t="s">
        <v>3653</v>
      </c>
      <c r="B48" s="754" t="s">
        <v>3654</v>
      </c>
    </row>
    <row customHeight="1" ht="11.25">
      <c r="A49" s="754" t="s">
        <v>3655</v>
      </c>
      <c r="B49" s="754" t="s">
        <v>3656</v>
      </c>
    </row>
    <row customHeight="1" ht="11.25">
      <c r="A50" s="754" t="s">
        <v>3657</v>
      </c>
      <c r="B50" s="754" t="s">
        <v>3658</v>
      </c>
    </row>
    <row customHeight="1" ht="11.25">
      <c r="A51" s="754" t="s">
        <v>3659</v>
      </c>
      <c r="B51" s="754" t="s">
        <v>3660</v>
      </c>
    </row>
    <row customHeight="1" ht="11.25">
      <c r="A52" s="754" t="s">
        <v>3661</v>
      </c>
      <c r="B52" s="754" t="s">
        <v>3662</v>
      </c>
    </row>
    <row customHeight="1" ht="11.25">
      <c r="A53" s="754" t="s">
        <v>3663</v>
      </c>
      <c r="B53" s="754" t="s">
        <v>3664</v>
      </c>
    </row>
    <row customHeight="1" ht="11.25">
      <c r="A54" s="754" t="s">
        <v>3665</v>
      </c>
      <c r="B54" s="754" t="s">
        <v>3666</v>
      </c>
    </row>
    <row customHeight="1" ht="11.25">
      <c r="A55" s="754" t="s">
        <v>3667</v>
      </c>
      <c r="B55" s="754" t="s">
        <v>3668</v>
      </c>
    </row>
    <row customHeight="1" ht="11.25">
      <c r="A56" s="754" t="s">
        <v>3669</v>
      </c>
      <c r="B56" s="754" t="s">
        <v>3670</v>
      </c>
    </row>
    <row customHeight="1" ht="11.25">
      <c r="A57" s="754" t="s">
        <v>3671</v>
      </c>
      <c r="B57" s="754" t="s">
        <v>3672</v>
      </c>
    </row>
    <row customHeight="1" ht="11.25">
      <c r="A58" s="754" t="s">
        <v>3673</v>
      </c>
      <c r="B58" s="754" t="s">
        <v>3674</v>
      </c>
    </row>
    <row customHeight="1" ht="11.25">
      <c r="A59" s="754" t="s">
        <v>3675</v>
      </c>
      <c r="B59" s="754" t="s">
        <v>3676</v>
      </c>
    </row>
    <row customHeight="1" ht="11.25">
      <c r="A60" s="754" t="s">
        <v>3677</v>
      </c>
      <c r="B60" s="754" t="s">
        <v>3678</v>
      </c>
    </row>
    <row customHeight="1" ht="11.25">
      <c r="A61" s="754"/>
      <c r="B61" s="754" t="s">
        <v>3679</v>
      </c>
    </row>
    <row customHeight="1" ht="11.25">
      <c r="A62" s="754"/>
      <c r="B62" s="754" t="s">
        <v>3680</v>
      </c>
    </row>
    <row customHeight="1" ht="11.25">
      <c r="A63" s="754"/>
      <c r="B63" s="754" t="s">
        <v>3681</v>
      </c>
    </row>
    <row customHeight="1" ht="11.25">
      <c r="A64" s="754"/>
      <c r="B64" s="754" t="s">
        <v>3682</v>
      </c>
    </row>
    <row customHeight="1" ht="11.25">
      <c r="A65" s="754"/>
      <c r="B65" s="754" t="s">
        <v>3683</v>
      </c>
    </row>
    <row customHeight="1" ht="11.25">
      <c r="A66" s="754"/>
      <c r="B66" s="754" t="s">
        <v>3684</v>
      </c>
    </row>
    <row customHeight="1" ht="11.25">
      <c r="A67" s="754"/>
      <c r="B67" s="754" t="s">
        <v>3685</v>
      </c>
    </row>
    <row customHeight="1" ht="11.25">
      <c r="A68" s="754"/>
      <c r="B68" s="754" t="s">
        <v>3686</v>
      </c>
    </row>
    <row customHeight="1" ht="11.25">
      <c r="A69" s="754"/>
      <c r="B69" s="754" t="s">
        <v>3687</v>
      </c>
    </row>
    <row customHeight="1" ht="11.25">
      <c r="A70" s="754"/>
      <c r="B70" s="754" t="s">
        <v>3688</v>
      </c>
    </row>
    <row customHeight="1" ht="11.25">
      <c r="A71" s="754"/>
      <c r="B71" s="754"/>
    </row>
    <row customHeight="1" ht="11.25">
      <c r="A72" s="754"/>
      <c r="B72" s="754"/>
    </row>
    <row customHeight="1" ht="11.25">
      <c r="A73" s="754"/>
      <c r="B73" s="754"/>
    </row>
    <row customHeight="1" ht="11.25">
      <c r="A74" s="754"/>
      <c r="B74" s="754"/>
    </row>
    <row customHeight="1" ht="11.25">
      <c r="A75" s="754"/>
      <c r="B75" s="754"/>
    </row>
    <row customHeight="1" ht="11.25">
      <c r="A76" s="754"/>
      <c r="B76" s="754"/>
    </row>
    <row customHeight="1" ht="11.25">
      <c r="A77" s="754"/>
      <c r="B77" s="754"/>
    </row>
    <row customHeight="1" ht="11.25">
      <c r="A78" s="754"/>
      <c r="B78" s="754"/>
    </row>
    <row customHeight="1" ht="11.25">
      <c r="A79" s="754"/>
      <c r="B79" s="754"/>
    </row>
    <row customHeight="1" ht="11.25">
      <c r="A80" s="754"/>
      <c r="B80" s="754"/>
    </row>
    <row customHeight="1" ht="11.25">
      <c r="A81" s="754"/>
      <c r="B81" s="754"/>
    </row>
    <row customHeight="1" ht="11.25">
      <c r="A82" s="754"/>
      <c r="B82" s="754"/>
    </row>
    <row customHeight="1" ht="11.25">
      <c r="A83" s="754"/>
      <c r="B83" s="754"/>
    </row>
    <row customHeight="1" ht="11.25">
      <c r="A84" s="754"/>
      <c r="B84" s="754"/>
    </row>
    <row customHeight="1" ht="11.25">
      <c r="A85" s="754"/>
      <c r="B85" s="754"/>
    </row>
    <row customHeight="1" ht="11.25">
      <c r="A86" s="754"/>
      <c r="B86" s="754"/>
    </row>
    <row customHeight="1" ht="11.25">
      <c r="A87" s="754"/>
      <c r="B87" s="754"/>
    </row>
    <row customHeight="1" ht="11.25">
      <c r="A88" s="754"/>
      <c r="B88" s="754"/>
    </row>
    <row customHeight="1" ht="11.25">
      <c r="A89" s="754"/>
      <c r="B89" s="754"/>
    </row>
    <row customHeight="1" ht="11.25">
      <c r="A90" s="754"/>
      <c r="B90" s="754"/>
    </row>
    <row customHeight="1" ht="11.25">
      <c r="A91" s="754"/>
      <c r="B91" s="754"/>
    </row>
    <row customHeight="1" ht="11.25">
      <c r="A92" s="754"/>
      <c r="B92" s="754"/>
    </row>
    <row customHeight="1" ht="11.25">
      <c r="A93" s="754"/>
      <c r="B93" s="754"/>
    </row>
    <row customHeight="1" ht="11.25">
      <c r="A94" s="754"/>
      <c r="B94" s="754"/>
    </row>
    <row customHeight="1" ht="11.25">
      <c r="A95" s="754"/>
      <c r="B95" s="754"/>
    </row>
    <row customHeight="1" ht="11.25">
      <c r="A96" s="754"/>
      <c r="B96" s="754"/>
    </row>
    <row customHeight="1" ht="11.25">
      <c r="A97" s="754"/>
      <c r="B97" s="754"/>
    </row>
    <row customHeight="1" ht="11.25">
      <c r="A98" s="754"/>
      <c r="B98" s="754"/>
    </row>
    <row customHeight="1" ht="11.25">
      <c r="A99" s="754"/>
      <c r="B99" s="754"/>
    </row>
    <row customHeight="1" ht="11.25">
      <c r="A100" s="754"/>
      <c r="B100" s="754"/>
    </row>
    <row customHeight="1" ht="11.25">
      <c r="A101" s="754"/>
      <c r="B101" s="754"/>
    </row>
    <row customHeight="1" ht="11.25">
      <c r="A102" s="754"/>
      <c r="B102" s="754"/>
    </row>
    <row customHeight="1" ht="11.25">
      <c r="A103" s="754"/>
      <c r="B103" s="754"/>
    </row>
    <row customHeight="1" ht="11.25">
      <c r="A104" s="754"/>
      <c r="B104" s="754"/>
    </row>
    <row customHeight="1" ht="11.25">
      <c r="A105" s="754"/>
      <c r="B105" s="754"/>
    </row>
    <row customHeight="1" ht="11.25">
      <c r="A106" s="754"/>
      <c r="B106" s="754"/>
    </row>
    <row customHeight="1" ht="11.25">
      <c r="A107" s="754"/>
      <c r="B107" s="754"/>
    </row>
    <row customHeight="1" ht="11.25">
      <c r="A108" s="754"/>
      <c r="B108" s="754"/>
    </row>
    <row customHeight="1" ht="11.25">
      <c r="A109" s="754"/>
      <c r="B109" s="754"/>
    </row>
    <row customHeight="1" ht="11.25">
      <c r="A110" s="754"/>
      <c r="B110" s="754"/>
    </row>
    <row customHeight="1" ht="11.25">
      <c r="A111" s="754"/>
      <c r="B111" s="754"/>
    </row>
    <row customHeight="1" ht="11.25">
      <c r="A112" s="754"/>
      <c r="B112" s="754"/>
    </row>
    <row customHeight="1" ht="11.25">
      <c r="A113" s="754"/>
      <c r="B113" s="754"/>
    </row>
    <row customHeight="1" ht="11.25">
      <c r="A114" s="754"/>
      <c r="B114" s="754"/>
    </row>
    <row customHeight="1" ht="11.25">
      <c r="A115" s="754"/>
      <c r="B115" s="754"/>
    </row>
    <row customHeight="1" ht="11.25">
      <c r="A116" s="754"/>
      <c r="B116" s="754"/>
    </row>
    <row customHeight="1" ht="11.25">
      <c r="A117" s="754"/>
      <c r="B117" s="754"/>
    </row>
    <row customHeight="1" ht="11.25">
      <c r="A118" s="754"/>
      <c r="B118" s="754"/>
    </row>
    <row customHeight="1" ht="11.25">
      <c r="A119" s="754"/>
      <c r="B119" s="754"/>
    </row>
    <row customHeight="1" ht="11.25">
      <c r="A120" s="754"/>
      <c r="B120" s="754"/>
    </row>
    <row customHeight="1" ht="11.25">
      <c r="A121" s="754"/>
      <c r="B121" s="754"/>
    </row>
    <row customHeight="1" ht="11.25">
      <c r="A122" s="754"/>
      <c r="B122" s="754"/>
    </row>
    <row customHeight="1" ht="11.25">
      <c r="A123" s="754"/>
      <c r="B123" s="754"/>
    </row>
    <row customHeight="1" ht="11.25">
      <c r="A124" s="754"/>
      <c r="B124" s="754"/>
    </row>
    <row customHeight="1" ht="11.25">
      <c r="A125" s="754"/>
      <c r="B125" s="754"/>
    </row>
    <row customHeight="1" ht="11.25">
      <c r="A126" s="754"/>
      <c r="B126" s="754"/>
    </row>
    <row customHeight="1" ht="11.25">
      <c r="A127" s="754"/>
      <c r="B127" s="754"/>
    </row>
    <row customHeight="1" ht="11.25">
      <c r="A128" s="754"/>
      <c r="B128" s="754"/>
    </row>
    <row customHeight="1" ht="11.25">
      <c r="A129" s="754"/>
      <c r="B129" s="754"/>
    </row>
    <row customHeight="1" ht="11.25">
      <c r="A130" s="754"/>
      <c r="B130" s="754"/>
    </row>
    <row customHeight="1" ht="11.25">
      <c r="A131" s="754"/>
      <c r="B131" s="754"/>
    </row>
    <row customHeight="1" ht="11.25">
      <c r="A132" s="754"/>
      <c r="B132" s="754"/>
    </row>
    <row customHeight="1" ht="11.25">
      <c r="A133" s="754"/>
      <c r="B133" s="754"/>
    </row>
    <row customHeight="1" ht="11.25">
      <c r="A134" s="754"/>
      <c r="B134" s="754"/>
    </row>
    <row customHeight="1" ht="11.25">
      <c r="A135" s="754"/>
      <c r="B135" s="754"/>
    </row>
    <row customHeight="1" ht="11.25">
      <c r="A136" s="754"/>
      <c r="B136" s="754"/>
    </row>
    <row customHeight="1" ht="11.25">
      <c r="A137" s="754"/>
      <c r="B137" s="754"/>
    </row>
    <row customHeight="1" ht="11.25">
      <c r="A138" s="754"/>
      <c r="B138" s="754"/>
    </row>
    <row customHeight="1" ht="11.25">
      <c r="A139" s="754"/>
      <c r="B139" s="754"/>
    </row>
    <row customHeight="1" ht="11.25">
      <c r="A140" s="754"/>
      <c r="B140" s="754"/>
    </row>
    <row customHeight="1" ht="11.25">
      <c r="A141" s="754"/>
      <c r="B141" s="754"/>
    </row>
    <row customHeight="1" ht="11.25">
      <c r="A142" s="754"/>
      <c r="B142" s="754"/>
    </row>
    <row customHeight="1" ht="11.25">
      <c r="A143" s="754"/>
      <c r="B143" s="754"/>
    </row>
    <row customHeight="1" ht="11.25">
      <c r="A144" s="754"/>
      <c r="B144" s="754"/>
    </row>
    <row customHeight="1" ht="11.25">
      <c r="A145" s="754"/>
      <c r="B145" s="754"/>
    </row>
    <row customHeight="1" ht="11.25">
      <c r="A146" s="754"/>
      <c r="B146" s="754"/>
    </row>
    <row customHeight="1" ht="11.25">
      <c r="A147" s="754"/>
      <c r="B147" s="754"/>
    </row>
    <row customHeight="1" ht="11.25">
      <c r="A148" s="754"/>
      <c r="B148" s="754"/>
    </row>
    <row customHeight="1" ht="11.25">
      <c r="A149" s="754"/>
      <c r="B149" s="754"/>
    </row>
    <row customHeight="1" ht="11.25">
      <c r="A150" s="754"/>
      <c r="B150" s="754"/>
    </row>
    <row customHeight="1" ht="11.25">
      <c r="A151" s="754"/>
      <c r="B151" s="754"/>
    </row>
    <row customHeight="1" ht="11.25">
      <c r="A152" s="754"/>
      <c r="B152" s="754"/>
    </row>
    <row customHeight="1" ht="11.25">
      <c r="A153" s="754"/>
      <c r="B153" s="754"/>
    </row>
    <row customHeight="1" ht="11.25">
      <c r="A154" s="754"/>
      <c r="B154" s="754"/>
    </row>
    <row customHeight="1" ht="11.25">
      <c r="A155" s="754"/>
      <c r="B155" s="754"/>
    </row>
    <row customHeight="1" ht="11.25">
      <c r="A156" s="754"/>
      <c r="B156" s="754"/>
    </row>
    <row customHeight="1" ht="11.25">
      <c r="A157" s="754"/>
      <c r="B157" s="754"/>
    </row>
    <row customHeight="1" ht="11.25">
      <c r="A158" s="754"/>
      <c r="B158" s="754"/>
    </row>
    <row customHeight="1" ht="11.25">
      <c r="A159" s="754"/>
      <c r="B159" s="754"/>
    </row>
    <row customHeight="1" ht="11.25">
      <c r="A160" s="754"/>
      <c r="B160" s="754"/>
    </row>
    <row customHeight="1" ht="11.25">
      <c r="A161" s="754"/>
      <c r="B161" s="754"/>
    </row>
    <row customHeight="1" ht="11.25">
      <c r="A162" s="754"/>
      <c r="B162" s="754"/>
    </row>
    <row customHeight="1" ht="11.25">
      <c r="A163" s="754"/>
      <c r="B163" s="754"/>
    </row>
    <row customHeight="1" ht="11.25">
      <c r="A164" s="754"/>
      <c r="B164" s="754"/>
    </row>
    <row customHeight="1" ht="11.25">
      <c r="A165" s="754"/>
      <c r="B165" s="754"/>
    </row>
    <row customHeight="1" ht="11.25">
      <c r="A166" s="754"/>
      <c r="B166" s="754"/>
    </row>
    <row customHeight="1" ht="11.25">
      <c r="A167" s="754"/>
      <c r="B167" s="754"/>
    </row>
    <row customHeight="1" ht="11.25">
      <c r="A168" s="754"/>
      <c r="B168" s="754"/>
    </row>
    <row customHeight="1" ht="11.25">
      <c r="A169" s="754"/>
      <c r="B169" s="754"/>
    </row>
    <row customHeight="1" ht="11.25">
      <c r="A170" s="754"/>
      <c r="B170" s="754"/>
    </row>
    <row customHeight="1" ht="11.25">
      <c r="A171" s="754"/>
      <c r="B171" s="754"/>
    </row>
    <row customHeight="1" ht="11.25">
      <c r="A172" s="754"/>
      <c r="B172" s="754"/>
    </row>
    <row customHeight="1" ht="11.25">
      <c r="A173" s="754"/>
      <c r="B173" s="754"/>
    </row>
    <row customHeight="1" ht="11.25">
      <c r="A174" s="754"/>
      <c r="B174" s="754"/>
    </row>
    <row customHeight="1" ht="11.25">
      <c r="A175" s="754"/>
      <c r="B175" s="754"/>
    </row>
    <row customHeight="1" ht="11.25">
      <c r="A176" s="754"/>
      <c r="B176" s="754"/>
    </row>
    <row customHeight="1" ht="11.25">
      <c r="A177" s="754"/>
      <c r="B177" s="754"/>
    </row>
    <row customHeight="1" ht="11.25">
      <c r="A178" s="754"/>
      <c r="B178" s="754"/>
    </row>
    <row customHeight="1" ht="11.25">
      <c r="A179" s="754"/>
      <c r="B179" s="754"/>
    </row>
    <row customHeight="1" ht="11.25">
      <c r="A180" s="754"/>
      <c r="B180" s="754"/>
    </row>
    <row customHeight="1" ht="11.25">
      <c r="A181" s="754"/>
      <c r="B181" s="754"/>
    </row>
    <row customHeight="1" ht="11.25">
      <c r="A182" s="754"/>
      <c r="B182" s="754"/>
    </row>
    <row customHeight="1" ht="11.25">
      <c r="A183" s="754"/>
      <c r="B183" s="754"/>
    </row>
    <row customHeight="1" ht="11.25">
      <c r="A184" s="754"/>
      <c r="B184" s="754"/>
    </row>
    <row customHeight="1" ht="11.25">
      <c r="A185" s="754"/>
      <c r="B185" s="754"/>
    </row>
    <row customHeight="1" ht="11.25">
      <c r="A186" s="754"/>
      <c r="B186" s="754"/>
    </row>
    <row customHeight="1" ht="11.25">
      <c r="A187" s="754"/>
      <c r="B187" s="754"/>
    </row>
    <row customHeight="1" ht="11.25">
      <c r="A188" s="754"/>
      <c r="B188" s="754"/>
    </row>
    <row customHeight="1" ht="11.25">
      <c r="A189" s="754"/>
      <c r="B189" s="754"/>
    </row>
    <row customHeight="1" ht="11.25">
      <c r="A190" s="754"/>
      <c r="B190" s="754"/>
    </row>
    <row customHeight="1" ht="11.25">
      <c r="A191" s="754"/>
      <c r="B191" s="754"/>
    </row>
    <row customHeight="1" ht="11.25">
      <c r="A192" s="754"/>
      <c r="B192" s="754"/>
    </row>
    <row customHeight="1" ht="11.25">
      <c r="A193" s="754"/>
      <c r="B193" s="754"/>
    </row>
    <row customHeight="1" ht="11.25">
      <c r="A194" s="754"/>
      <c r="B194" s="754"/>
    </row>
    <row customHeight="1" ht="11.25">
      <c r="A195" s="754"/>
      <c r="B195" s="754"/>
    </row>
    <row customHeight="1" ht="11.25">
      <c r="A196" s="754"/>
      <c r="B196" s="754"/>
    </row>
    <row customHeight="1" ht="11.25">
      <c r="A197" s="754"/>
      <c r="B197" s="754"/>
    </row>
    <row customHeight="1" ht="11.25">
      <c r="A198" s="754"/>
      <c r="B198" s="754"/>
    </row>
    <row customHeight="1" ht="11.25">
      <c r="A199" s="754"/>
      <c r="B199" s="754"/>
    </row>
    <row customHeight="1" ht="11.25">
      <c r="A200" s="754"/>
      <c r="B200" s="754"/>
    </row>
    <row customHeight="1" ht="11.25">
      <c r="A201" s="754"/>
      <c r="B201" s="754"/>
    </row>
    <row customHeight="1" ht="11.25">
      <c r="A202" s="754"/>
      <c r="B202" s="754"/>
    </row>
    <row customHeight="1" ht="11.25">
      <c r="A203" s="754"/>
      <c r="B203" s="754"/>
    </row>
    <row customHeight="1" ht="11.25">
      <c r="A204" s="754"/>
      <c r="B204" s="754"/>
    </row>
    <row customHeight="1" ht="11.25">
      <c r="A205" s="754"/>
      <c r="B205" s="754"/>
    </row>
    <row customHeight="1" ht="11.25">
      <c r="A206" s="754"/>
      <c r="B206" s="754"/>
    </row>
    <row customHeight="1" ht="11.25">
      <c r="A207" s="754"/>
      <c r="B207" s="754"/>
    </row>
    <row customHeight="1" ht="11.25">
      <c r="A208" s="754"/>
      <c r="B208" s="754"/>
    </row>
    <row customHeight="1" ht="11.25">
      <c r="A209" s="754"/>
      <c r="B209" s="754"/>
    </row>
    <row customHeight="1" ht="11.25">
      <c r="A210" s="754"/>
      <c r="B210" s="754"/>
    </row>
    <row customHeight="1" ht="11.25">
      <c r="A211" s="754"/>
      <c r="B211" s="754"/>
    </row>
    <row customHeight="1" ht="11.25">
      <c r="A212" s="754"/>
      <c r="B212" s="754"/>
    </row>
    <row customHeight="1" ht="11.25">
      <c r="A213" s="754"/>
      <c r="B213" s="754"/>
    </row>
    <row customHeight="1" ht="11.25">
      <c r="A214" s="754"/>
      <c r="B214" s="754"/>
    </row>
    <row customHeight="1" ht="11.25">
      <c r="A215" s="754"/>
      <c r="B215" s="754"/>
    </row>
    <row customHeight="1" ht="11.25">
      <c r="A216" s="754"/>
      <c r="B216" s="754"/>
    </row>
    <row customHeight="1" ht="11.25">
      <c r="A217" s="754"/>
      <c r="B217" s="754"/>
    </row>
    <row customHeight="1" ht="11.25">
      <c r="A218" s="754"/>
      <c r="B218" s="754"/>
    </row>
    <row customHeight="1" ht="11.25">
      <c r="A219" s="754"/>
      <c r="B219" s="754"/>
    </row>
    <row customHeight="1" ht="11.25">
      <c r="A220" s="754"/>
      <c r="B220" s="754"/>
    </row>
    <row customHeight="1" ht="11.25">
      <c r="A221" s="754"/>
      <c r="B221" s="754"/>
    </row>
    <row customHeight="1" ht="11.25">
      <c r="A222" s="754"/>
      <c r="B222" s="754"/>
    </row>
    <row customHeight="1" ht="11.25">
      <c r="A223" s="754"/>
      <c r="B223" s="754"/>
    </row>
    <row customHeight="1" ht="11.25">
      <c r="A224" s="754"/>
      <c r="B224" s="754"/>
    </row>
    <row customHeight="1" ht="11.25">
      <c r="A225" s="754"/>
      <c r="B225" s="754"/>
    </row>
    <row customHeight="1" ht="11.25">
      <c r="A226" s="754"/>
      <c r="B226" s="754"/>
    </row>
    <row customHeight="1" ht="11.25">
      <c r="A227" s="754"/>
      <c r="B227" s="754"/>
    </row>
    <row customHeight="1" ht="11.25">
      <c r="A228" s="754"/>
      <c r="B228" s="754"/>
    </row>
    <row customHeight="1" ht="11.25">
      <c r="A229" s="754"/>
      <c r="B229" s="754"/>
    </row>
    <row customHeight="1" ht="11.25">
      <c r="A230" s="754"/>
      <c r="B230" s="754"/>
    </row>
    <row customHeight="1" ht="11.25">
      <c r="A231" s="754"/>
      <c r="B231" s="754"/>
    </row>
    <row customHeight="1" ht="11.25">
      <c r="A232" s="754"/>
      <c r="B232" s="754"/>
    </row>
    <row customHeight="1" ht="11.25">
      <c r="A233" s="754"/>
      <c r="B233" s="754"/>
    </row>
    <row customHeight="1" ht="11.25">
      <c r="A234" s="754"/>
      <c r="B234" s="754"/>
    </row>
    <row customHeight="1" ht="11.25">
      <c r="A235" s="754"/>
      <c r="B235" s="754"/>
    </row>
    <row customHeight="1" ht="11.25">
      <c r="A236" s="754"/>
      <c r="B236" s="754"/>
    </row>
    <row customHeight="1" ht="11.25">
      <c r="A237" s="754"/>
      <c r="B237" s="754"/>
    </row>
    <row customHeight="1" ht="11.25">
      <c r="A238" s="754"/>
      <c r="B238" s="754"/>
    </row>
    <row customHeight="1" ht="11.25">
      <c r="A239" s="754"/>
      <c r="B239" s="754"/>
    </row>
    <row customHeight="1" ht="11.25">
      <c r="A240" s="754"/>
      <c r="B240" s="754"/>
    </row>
    <row customHeight="1" ht="11.25">
      <c r="A241" s="754"/>
      <c r="B241" s="754"/>
    </row>
    <row customHeight="1" ht="11.25">
      <c r="A242" s="754"/>
      <c r="B242" s="754"/>
    </row>
    <row customHeight="1" ht="11.25">
      <c r="A243" s="754"/>
      <c r="B243" s="754"/>
    </row>
    <row customHeight="1" ht="11.25">
      <c r="A244" s="754"/>
      <c r="B244" s="754"/>
    </row>
    <row customHeight="1" ht="11.25">
      <c r="A245" s="754"/>
      <c r="B245" s="754"/>
    </row>
    <row customHeight="1" ht="11.25">
      <c r="A246" s="754"/>
      <c r="B246" s="754"/>
    </row>
    <row customHeight="1" ht="11.25">
      <c r="A247" s="754"/>
      <c r="B247" s="754"/>
    </row>
    <row customHeight="1" ht="11.25">
      <c r="A248" s="754"/>
      <c r="B248" s="754"/>
    </row>
    <row customHeight="1" ht="11.25">
      <c r="A249" s="754"/>
      <c r="B249" s="754"/>
    </row>
    <row customHeight="1" ht="11.25">
      <c r="A250" s="754"/>
      <c r="B250" s="754"/>
    </row>
    <row customHeight="1" ht="11.25">
      <c r="A251" s="754"/>
      <c r="B251" s="754"/>
    </row>
    <row customHeight="1" ht="11.25">
      <c r="A252" s="754"/>
      <c r="B252" s="754"/>
    </row>
    <row customHeight="1" ht="11.25">
      <c r="A253" s="754"/>
      <c r="B253" s="754"/>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FAFEE7-5543-8573-3EA9-C1768FD7C866}"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63225" width="3.7109375" customWidth="1"/>
    <col min="2" max="2" style="63225" width="90.7109375" customWidth="1"/>
    <col min="3" max="4" style="63225" width="9.140625"/>
  </cols>
  <sheetData>
    <row customHeight="1" ht="11.25">
      <c r="B1" s="785" t="s">
        <v>3689</v>
      </c>
    </row>
    <row customHeight="1" ht="90">
      <c r="B2" s="786" t="s">
        <v>3690</v>
      </c>
    </row>
    <row customHeight="1" ht="67.5">
      <c r="B3" s="786" t="s">
        <v>3691</v>
      </c>
    </row>
    <row customHeight="1" ht="33.75">
      <c r="B4" s="786" t="s">
        <v>3692</v>
      </c>
    </row>
    <row customHeight="1" ht="11.25">
      <c r="B5" s="786" t="s">
        <v>3693</v>
      </c>
    </row>
    <row customHeight="1" ht="22.5">
      <c r="B6" s="786" t="s">
        <v>3694</v>
      </c>
    </row>
    <row customHeight="1" ht="22.5">
      <c r="B7" s="786" t="s">
        <v>3695</v>
      </c>
    </row>
    <row customHeight="1" ht="22.5">
      <c r="B8" s="786" t="s">
        <v>3696</v>
      </c>
    </row>
    <row customHeight="1" ht="22.5">
      <c r="B9" s="786" t="s">
        <v>3697</v>
      </c>
    </row>
    <row customHeight="1" ht="56.25">
      <c r="B10" s="786" t="s">
        <v>3698</v>
      </c>
    </row>
    <row customHeight="1" ht="12.75">
      <c r="B11" s="851" t="s">
        <v>3699</v>
      </c>
    </row>
    <row customHeight="1" ht="11.25">
      <c r="B12" s="785" t="s">
        <v>3700</v>
      </c>
    </row>
    <row customHeight="1" ht="22.5">
      <c r="B13" s="786" t="s">
        <v>3701</v>
      </c>
    </row>
    <row customHeight="1" ht="67.5">
      <c r="B14" s="786" t="s">
        <v>3702</v>
      </c>
    </row>
    <row customHeight="1" ht="22.5">
      <c r="B15" s="786" t="s">
        <v>3703</v>
      </c>
    </row>
    <row customHeight="1" ht="11.25">
      <c r="B16" s="785" t="s">
        <v>3704</v>
      </c>
      <c r="D16" s="792"/>
    </row>
    <row customHeight="1" ht="33.75">
      <c r="B17" s="786" t="s">
        <v>3705</v>
      </c>
    </row>
    <row customHeight="1" ht="33.75">
      <c r="B18" s="786" t="s">
        <v>3706</v>
      </c>
    </row>
    <row customHeight="1" ht="11.25">
      <c r="B19" s="786" t="s">
        <v>3707</v>
      </c>
    </row>
    <row customHeight="1" ht="33.75">
      <c r="B20" s="786" t="s">
        <v>3708</v>
      </c>
    </row>
    <row customHeight="1" ht="11.25">
      <c r="B21" s="785" t="s">
        <v>3709</v>
      </c>
    </row>
    <row customHeight="1" ht="11.25">
      <c r="B22" s="786" t="s">
        <v>3710</v>
      </c>
    </row>
    <row r="24" customHeight="1" ht="22.5">
      <c r="B24" s="853" t="s">
        <v>3711</v>
      </c>
    </row>
    <row r="26" customHeight="1" ht="11.25">
      <c r="B26" s="785" t="s">
        <v>3712</v>
      </c>
    </row>
    <row customHeight="1" ht="22.5">
      <c r="B27" s="852" t="s">
        <v>471</v>
      </c>
    </row>
    <row customHeight="1" ht="56.25">
      <c r="B28" s="852" t="s">
        <v>3713</v>
      </c>
    </row>
    <row customHeight="1" ht="11.25">
      <c r="B29" s="902" t="s">
        <v>3714</v>
      </c>
    </row>
    <row customHeight="1" ht="22.5">
      <c r="B30" s="852" t="s">
        <v>3715</v>
      </c>
    </row>
    <row r="32" customHeight="1" ht="11.25">
      <c r="A32" s="880"/>
      <c r="B32" s="881" t="s">
        <v>3716</v>
      </c>
    </row>
    <row customHeight="1" ht="14.25">
      <c r="A33" s="882">
        <v>1</v>
      </c>
      <c r="B33" s="883" t="s">
        <v>3717</v>
      </c>
    </row>
    <row customHeight="1" ht="14.25">
      <c r="A34" s="882">
        <v>2</v>
      </c>
      <c r="B34" s="883" t="s">
        <v>3718</v>
      </c>
    </row>
    <row customHeight="1" ht="11.25">
      <c r="B35" s="881" t="s">
        <v>3719</v>
      </c>
    </row>
    <row customHeight="1" ht="11.25">
      <c r="B36" s="883" t="s">
        <v>3720</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7004DE-1C18-7764-B618-962C68C437A9}"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62759" width="9.140625" hidden="1" customWidth="1"/>
    <col min="2" max="2" style="62286" width="9.140625" hidden="1" customWidth="1"/>
    <col min="3" max="3" style="62687" width="3.00390625" customWidth="1"/>
    <col min="4" max="4" style="62286" width="5.00390625" customWidth="1"/>
    <col min="5" max="5" style="62286" width="38.00390625" customWidth="1"/>
    <col min="6" max="7" style="62286" width="3.00390625" customWidth="1"/>
    <col min="8" max="8" style="62286" width="38.00390625" customWidth="1"/>
    <col min="9" max="9" style="62286" width="35.00390625" customWidth="1"/>
    <col min="10" max="10" style="62286" width="103.00390625" customWidth="1"/>
    <col min="11" max="11" style="58273" width="3.00390625" customWidth="1"/>
    <col min="12" max="14" style="61695" width="10.00390625" customWidth="1"/>
    <col min="15" max="15" style="61695" width="13.00390625" customWidth="1"/>
    <col min="16" max="16" style="61695" width="15.00390625" customWidth="1"/>
    <col min="17" max="17" style="61695" width="16.00390625" customWidth="1"/>
    <col min="18" max="21" style="61695" width="10.00390625" customWidth="1"/>
    <col min="22" max="22" style="62286" width="10.57421875" hidden="1"/>
  </cols>
  <sheetData>
    <row customHeight="1" ht="22.5" hidden="1">
      <c r="E1" s="1104"/>
      <c r="F1" s="1104"/>
      <c r="G1" s="1104"/>
      <c r="H1" s="2909" t="s">
        <v>427</v>
      </c>
      <c r="I1" s="2909"/>
      <c r="V1" s="2299" t="s">
        <v>14</v>
      </c>
    </row>
    <row s="62286" customFormat="1" customHeight="1" ht="14.25" hidden="1">
      <c r="C2" s="2311"/>
      <c r="D2" s="2925" t="s">
        <v>118</v>
      </c>
      <c r="E2" s="2927"/>
      <c r="F2" s="2317"/>
      <c r="G2" s="2312" t="s">
        <v>118</v>
      </c>
      <c r="H2" s="2315"/>
      <c r="I2" s="2313"/>
      <c r="L2" s="2314"/>
      <c r="M2" s="2314"/>
      <c r="N2" s="2314"/>
      <c r="O2" s="2314" t="s">
        <v>457</v>
      </c>
      <c r="P2" s="2314"/>
      <c r="Q2" s="2314"/>
      <c r="R2" s="2316" t="s">
        <v>456</v>
      </c>
      <c r="S2" s="2316" t="s">
        <v>456</v>
      </c>
      <c r="T2" s="2314"/>
      <c r="U2" s="2314"/>
      <c r="V2" s="2310">
        <v>0</v>
      </c>
    </row>
    <row s="62286" customFormat="1" customHeight="1" ht="14.25" hidden="1">
      <c r="C3" s="2311"/>
      <c r="D3" s="2926"/>
      <c r="E3" s="2928"/>
      <c r="F3" s="1097"/>
      <c r="G3" s="1561"/>
      <c r="H3" s="1561" t="s">
        <v>458</v>
      </c>
      <c r="I3" s="1005"/>
      <c r="L3" s="2314"/>
      <c r="M3" s="2314"/>
      <c r="N3" s="2314"/>
      <c r="O3" s="2314"/>
      <c r="P3" s="2314"/>
      <c r="Q3" s="2314"/>
      <c r="R3" s="2316"/>
      <c r="S3" s="2316"/>
      <c r="T3" s="2314"/>
      <c r="U3" s="2314"/>
      <c r="V3" s="2310">
        <v>0</v>
      </c>
    </row>
    <row customHeight="1" ht="14.25" hidden="1">
      <c r="V4" s="2299">
        <v>0</v>
      </c>
    </row>
    <row s="58287" customFormat="1" customHeight="1" ht="5.25">
      <c r="C5" s="1393"/>
      <c r="D5" s="1394"/>
      <c r="E5" s="1394"/>
      <c r="F5" s="1394"/>
      <c r="G5" s="1394"/>
      <c r="H5" s="1394" t="s">
        <v>431</v>
      </c>
      <c r="I5" s="1394"/>
      <c r="J5" s="1394"/>
      <c r="L5" s="2306"/>
      <c r="M5" s="2306"/>
      <c r="N5" s="2306"/>
      <c r="O5" s="2306"/>
      <c r="P5" s="2306"/>
      <c r="Q5" s="2306"/>
      <c r="R5" s="2306"/>
      <c r="S5" s="2306"/>
      <c r="T5" s="2306"/>
      <c r="U5" s="2306"/>
      <c r="V5" s="2305">
        <v>5</v>
      </c>
    </row>
    <row customHeight="1" ht="29.25">
      <c r="C6" s="2208"/>
      <c r="D6" s="2929" t="s">
        <v>459</v>
      </c>
      <c r="E6" s="2929"/>
      <c r="F6" s="2929"/>
      <c r="G6" s="2929"/>
      <c r="H6" s="2929"/>
      <c r="I6" s="2929"/>
      <c r="J6" s="1183"/>
      <c r="K6" s="2307"/>
      <c r="V6" s="2299">
        <v>28</v>
      </c>
    </row>
    <row customHeight="1" ht="18">
      <c r="C7" s="2208"/>
      <c r="D7" s="2868" t="str">
        <f>IF(org=0,"Не определено",org)</f>
        <v>АО "ДГК"</v>
      </c>
      <c r="E7" s="2868"/>
      <c r="F7" s="2868"/>
      <c r="G7" s="2868"/>
      <c r="H7" s="2868"/>
      <c r="I7" s="2868"/>
      <c r="J7" s="1183"/>
      <c r="K7" s="2307"/>
      <c r="V7" s="2299">
        <v>17</v>
      </c>
    </row>
    <row s="58292" customFormat="1" customHeight="1" ht="5.25">
      <c r="A8" s="2303"/>
      <c r="C8" s="1178"/>
      <c r="D8" s="1177"/>
      <c r="E8" s="1177"/>
      <c r="F8" s="1177"/>
      <c r="G8" s="1177"/>
      <c r="H8" s="1177"/>
      <c r="I8" s="1177"/>
      <c r="J8" s="1177"/>
      <c r="L8" s="2306"/>
      <c r="M8" s="2306"/>
      <c r="N8" s="2306"/>
      <c r="O8" s="2306"/>
      <c r="P8" s="2306"/>
      <c r="Q8" s="2306"/>
      <c r="R8" s="2306"/>
      <c r="S8" s="2306"/>
      <c r="T8" s="2306"/>
      <c r="U8" s="2306"/>
      <c r="V8" s="2304">
        <v>5</v>
      </c>
    </row>
    <row s="58292" customFormat="1" customHeight="1" ht="5.25">
      <c r="A9" s="2303"/>
      <c r="C9" s="1178"/>
      <c r="D9" s="1177"/>
      <c r="E9" s="1177"/>
      <c r="F9" s="1177"/>
      <c r="G9" s="1177"/>
      <c r="H9" s="1177"/>
      <c r="I9" s="1177"/>
      <c r="J9" s="1177"/>
      <c r="L9" s="2314"/>
      <c r="M9" s="2314"/>
      <c r="N9" s="2314"/>
      <c r="O9" s="2314"/>
      <c r="P9" s="2314"/>
      <c r="Q9" s="2314"/>
      <c r="R9" s="2314"/>
      <c r="S9" s="2314"/>
      <c r="T9" s="2314"/>
      <c r="U9" s="2314"/>
      <c r="V9" s="2304">
        <v>5</v>
      </c>
    </row>
    <row customHeight="1" ht="14.699999999999998">
      <c r="C10" s="2208"/>
      <c r="D10" s="2910" t="s">
        <v>375</v>
      </c>
      <c r="E10" s="2911"/>
      <c r="F10" s="2911"/>
      <c r="G10" s="2911"/>
      <c r="H10" s="2911"/>
      <c r="I10" s="2911"/>
      <c r="J10" s="2915" t="s">
        <v>376</v>
      </c>
      <c r="V10" s="2299">
        <v>14</v>
      </c>
    </row>
    <row customHeight="1" ht="27.299999999999997">
      <c r="C11" s="2208"/>
      <c r="D11" s="2819" t="s">
        <v>89</v>
      </c>
      <c r="E11" s="2915" t="s">
        <v>114</v>
      </c>
      <c r="F11" s="2884" t="s">
        <v>89</v>
      </c>
      <c r="G11" s="2885"/>
      <c r="H11" s="2867" t="s">
        <v>460</v>
      </c>
      <c r="I11" s="2867" t="s">
        <v>461</v>
      </c>
      <c r="J11" s="2915"/>
      <c r="V11" s="2299">
        <v>26</v>
      </c>
    </row>
    <row customHeight="1" ht="14.699999999999998">
      <c r="C12" s="2208"/>
      <c r="D12" s="2819"/>
      <c r="E12" s="2915"/>
      <c r="F12" s="2892"/>
      <c r="G12" s="2893"/>
      <c r="H12" s="2924"/>
      <c r="I12" s="2924"/>
      <c r="J12" s="2915"/>
      <c r="V12" s="2299">
        <v>14</v>
      </c>
    </row>
    <row s="61193" customFormat="1" customHeight="1" ht="11.25" hidden="1">
      <c r="C13" s="1190"/>
      <c r="D13" s="1191" t="s">
        <v>451</v>
      </c>
      <c r="E13" s="1191"/>
      <c r="F13" s="1191"/>
      <c r="G13" s="1191"/>
      <c r="H13" s="1189"/>
      <c r="I13" s="1189"/>
      <c r="J13" s="1127"/>
      <c r="L13" s="2306"/>
      <c r="M13" s="2306"/>
      <c r="N13" s="2306"/>
      <c r="O13" s="2306"/>
      <c r="P13" s="2306"/>
      <c r="Q13" s="2306"/>
      <c r="R13" s="2306"/>
      <c r="S13" s="2306"/>
      <c r="T13" s="2306"/>
      <c r="U13" s="2306"/>
      <c r="V13" s="1188">
        <v>0</v>
      </c>
    </row>
    <row customHeight="1" ht="14.699999999999998">
      <c r="A14" s="2299"/>
      <c r="C14" s="2208"/>
      <c r="D14" s="2925" t="s">
        <v>118</v>
      </c>
      <c r="E14" s="2927"/>
      <c r="F14" s="2309"/>
      <c r="G14" s="2308" t="s">
        <v>118</v>
      </c>
      <c r="H14" s="2315"/>
      <c r="I14" s="2313"/>
      <c r="J14" s="2861" t="s">
        <v>462</v>
      </c>
      <c r="K14" s="2299"/>
      <c r="R14" s="1192" t="s">
        <v>456</v>
      </c>
      <c r="S14" s="1192" t="s">
        <v>456</v>
      </c>
      <c r="V14" s="2299">
        <v>14</v>
      </c>
    </row>
    <row customHeight="1" ht="14.699999999999998">
      <c r="A15" s="2299"/>
      <c r="C15" s="2208"/>
      <c r="D15" s="2926"/>
      <c r="E15" s="2928"/>
      <c r="F15" s="1097"/>
      <c r="G15" s="1561"/>
      <c r="H15" s="1561" t="s">
        <v>458</v>
      </c>
      <c r="I15" s="1005"/>
      <c r="J15" s="2862"/>
      <c r="K15" s="2299"/>
      <c r="R15" s="1192"/>
      <c r="S15" s="1192"/>
      <c r="V15" s="2299">
        <v>14</v>
      </c>
    </row>
    <row customHeight="1" ht="14.699999999999998">
      <c r="A16" s="2299"/>
      <c r="C16" s="2208"/>
      <c r="D16" s="1097"/>
      <c r="E16" s="1561" t="s">
        <v>129</v>
      </c>
      <c r="F16" s="1005"/>
      <c r="G16" s="1005"/>
      <c r="H16" s="1098"/>
      <c r="I16" s="1098"/>
      <c r="J16" s="2863"/>
      <c r="K16" s="2299"/>
      <c r="V16" s="2299">
        <v>14</v>
      </c>
    </row>
    <row customHeight="1" ht="14.699999999999998">
      <c r="K17" s="2299"/>
      <c r="V17" s="2299">
        <v>14</v>
      </c>
    </row>
    <row customHeight="1" ht="22.5" hidden="1">
      <c r="A18" s="2300" t="s">
        <v>83</v>
      </c>
      <c r="B18" s="2299">
        <v>0</v>
      </c>
      <c r="C18" s="1143">
        <v>3</v>
      </c>
      <c r="D18" s="2299">
        <v>5</v>
      </c>
      <c r="E18" s="2299">
        <v>38</v>
      </c>
      <c r="F18" s="2299">
        <v>3</v>
      </c>
      <c r="G18" s="2299">
        <v>3</v>
      </c>
      <c r="H18" s="2299">
        <v>38</v>
      </c>
      <c r="I18" s="2299">
        <v>35</v>
      </c>
      <c r="J18" s="2299">
        <v>103</v>
      </c>
      <c r="K18" s="2301">
        <v>3</v>
      </c>
      <c r="L18" s="2306">
        <v>10</v>
      </c>
      <c r="M18" s="2306">
        <v>10</v>
      </c>
      <c r="N18" s="2306">
        <v>10</v>
      </c>
      <c r="O18" s="2306">
        <v>13</v>
      </c>
      <c r="P18" s="2306">
        <v>15</v>
      </c>
      <c r="Q18" s="2306">
        <v>16</v>
      </c>
      <c r="R18" s="2306">
        <v>10</v>
      </c>
      <c r="S18" s="2306">
        <v>10</v>
      </c>
      <c r="T18" s="2306">
        <v>10</v>
      </c>
      <c r="U18" s="2306">
        <v>10</v>
      </c>
      <c r="V18" s="2299">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